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14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1">'02'!$6:$7</definedName>
  </definedNames>
  <calcPr fullCalcOnLoad="1"/>
</workbook>
</file>

<file path=xl/comments3.xml><?xml version="1.0" encoding="utf-8"?>
<comments xmlns="http://schemas.openxmlformats.org/spreadsheetml/2006/main">
  <authors>
    <author>KT-Phong Nguyen</author>
  </authors>
  <commentList>
    <comment ref="E8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tăng trưởng 19% lạm phát 7%
</t>
        </r>
      </text>
    </comment>
    <comment ref="F11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số cũ 756</t>
        </r>
      </text>
    </comment>
    <comment ref="I11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số cũ 257</t>
        </r>
      </text>
    </comment>
    <comment ref="J11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số cũ 756</t>
        </r>
      </text>
    </comment>
    <comment ref="M11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số cũ 378</t>
        </r>
      </text>
    </comment>
    <comment ref="N11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số cũ 2707</t>
        </r>
      </text>
    </comment>
    <comment ref="B15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hạt điều khô hay hạt điều nhân?</t>
        </r>
      </text>
    </comment>
    <comment ref="D17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cho biết tại sao cao vậy?
</t>
        </r>
      </text>
    </comment>
    <comment ref="D19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xem lại số của thống kê là 1.200 tấn</t>
        </r>
      </text>
    </comment>
  </commentList>
</comments>
</file>

<file path=xl/comments4.xml><?xml version="1.0" encoding="utf-8"?>
<comments xmlns="http://schemas.openxmlformats.org/spreadsheetml/2006/main">
  <authors>
    <author>KT-Phong Nguyen</author>
  </authors>
  <commentList>
    <comment ref="E10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tăng lên số này để 18000 kỳ lắm</t>
        </r>
      </text>
    </comment>
    <comment ref="B18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tại sao năm 2013 không giao</t>
        </r>
      </text>
    </comment>
    <comment ref="D19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số thống kê là 5600 tấn chứ không phải là 7000</t>
        </r>
      </text>
    </comment>
    <comment ref="D20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số thông kê là 22433 chứ không phải 22683</t>
        </r>
      </text>
    </comment>
    <comment ref="D21" authorId="0">
      <text>
        <r>
          <rPr>
            <b/>
            <sz val="8"/>
            <rFont val="Tahoma"/>
            <family val="0"/>
          </rPr>
          <t>KT-Phong Nguyen:</t>
        </r>
        <r>
          <rPr>
            <sz val="8"/>
            <rFont val="Tahoma"/>
            <family val="0"/>
          </rPr>
          <t xml:space="preserve">
số thông kê 88790 chứ không phải 85898</t>
        </r>
      </text>
    </comment>
  </commentList>
</comments>
</file>

<file path=xl/sharedStrings.xml><?xml version="1.0" encoding="utf-8"?>
<sst xmlns="http://schemas.openxmlformats.org/spreadsheetml/2006/main" count="1065" uniqueCount="497">
  <si>
    <t>STT</t>
  </si>
  <si>
    <t>CHỈ TIÊU</t>
  </si>
  <si>
    <t>ĐVT</t>
  </si>
  <si>
    <t>KH
2012</t>
  </si>
  <si>
    <t>UTH 2012</t>
  </si>
  <si>
    <t>KH 2013</t>
  </si>
  <si>
    <t>Phân theo huyện, thị xã</t>
  </si>
  <si>
    <t>P.LONG</t>
  </si>
  <si>
    <t>Đ. XOÀI</t>
  </si>
  <si>
    <t>B. LONG</t>
  </si>
  <si>
    <t xml:space="preserve">BÙ GIA MẬP </t>
  </si>
  <si>
    <t>L. NINH</t>
  </si>
  <si>
    <t>B. ĐỐP</t>
  </si>
  <si>
    <t xml:space="preserve">H.QUẢN </t>
  </si>
  <si>
    <t>Đ. PHÚ</t>
  </si>
  <si>
    <t>B. ĐĂNG</t>
  </si>
  <si>
    <t xml:space="preserve"> CHƠN THÀNH </t>
  </si>
  <si>
    <t>TỔNG DIỆN TÍCH GT (A+B)</t>
  </si>
  <si>
    <t>TỔNG DT</t>
  </si>
  <si>
    <t>A</t>
  </si>
  <si>
    <t>Tổng DTGT cây hàng năm</t>
  </si>
  <si>
    <t>ha</t>
  </si>
  <si>
    <t>Sản lượng lương thực có hạt</t>
  </si>
  <si>
    <t xml:space="preserve">tấn </t>
  </si>
  <si>
    <t>I</t>
  </si>
  <si>
    <t>Cây lương thực</t>
  </si>
  <si>
    <t>I.1</t>
  </si>
  <si>
    <t>Diện tích cây LT có hạt</t>
  </si>
  <si>
    <t>Diện tích lúa gieo trồng</t>
  </si>
  <si>
    <t>Sản lượng</t>
  </si>
  <si>
    <t xml:space="preserve">Lúa ruộng </t>
  </si>
  <si>
    <t>Năng xuất</t>
  </si>
  <si>
    <t>ta/ha</t>
  </si>
  <si>
    <t xml:space="preserve">Lúa nương </t>
  </si>
  <si>
    <t>Năng suất</t>
  </si>
  <si>
    <t>tạ/ha</t>
  </si>
  <si>
    <t>Bắp</t>
  </si>
  <si>
    <t>I.2</t>
  </si>
  <si>
    <t>Diện tích các loại cây chất bột</t>
  </si>
  <si>
    <t>Khoai mì</t>
  </si>
  <si>
    <t>Khoai lang</t>
  </si>
  <si>
    <t>Cây chất bột khác</t>
  </si>
  <si>
    <t>II</t>
  </si>
  <si>
    <t>Cây thực phẩm</t>
  </si>
  <si>
    <t>Rau các loại</t>
  </si>
  <si>
    <t>Đậu các loại</t>
  </si>
  <si>
    <t>III</t>
  </si>
  <si>
    <t>Cây công nghiệp hàng năm</t>
  </si>
  <si>
    <t>Đậu nành</t>
  </si>
  <si>
    <t>Đậu phộng</t>
  </si>
  <si>
    <t>Mè</t>
  </si>
  <si>
    <t>Mía</t>
  </si>
  <si>
    <t>Bông vải</t>
  </si>
  <si>
    <t>IV</t>
  </si>
  <si>
    <t>Cây TĂGS &amp; cây HN khác</t>
  </si>
  <si>
    <t>Cây thức ăn gia súc</t>
  </si>
  <si>
    <t>Cây hàng năm khác</t>
  </si>
  <si>
    <t>B</t>
  </si>
  <si>
    <t xml:space="preserve">TỔNG DT CÂY LÂU NĂM </t>
  </si>
  <si>
    <t>Diện tích cây CNLN</t>
  </si>
  <si>
    <t>Điều:</t>
  </si>
  <si>
    <t xml:space="preserve"> - Tổng diện tích</t>
  </si>
  <si>
    <t xml:space="preserve"> - Diện tích trồng mới</t>
  </si>
  <si>
    <t xml:space="preserve"> - Diện tích cho sản phẩm</t>
  </si>
  <si>
    <t xml:space="preserve"> - Năng suất</t>
  </si>
  <si>
    <t xml:space="preserve"> - Sản lượng </t>
  </si>
  <si>
    <t>Cà phê:</t>
  </si>
  <si>
    <t xml:space="preserve"> - Năng suất (nhân)</t>
  </si>
  <si>
    <t xml:space="preserve"> Cao su:</t>
  </si>
  <si>
    <t xml:space="preserve"> - Sản lượng (mủ khô)</t>
  </si>
  <si>
    <t>Tiêu:</t>
  </si>
  <si>
    <t>Ca cao</t>
  </si>
  <si>
    <t>Diện tích cây ăn quả LN</t>
  </si>
  <si>
    <t>Cam</t>
  </si>
  <si>
    <t xml:space="preserve">  - Sản lượng  </t>
  </si>
  <si>
    <t>Xoài</t>
  </si>
  <si>
    <t xml:space="preserve">  - Tổng diện tích </t>
  </si>
  <si>
    <t xml:space="preserve">  - Diện tích trồng mới </t>
  </si>
  <si>
    <t xml:space="preserve">  - Diện tích cho sản phẩm </t>
  </si>
  <si>
    <t>Chôm chôm</t>
  </si>
  <si>
    <t>Nhãn</t>
  </si>
  <si>
    <t xml:space="preserve"> Mít </t>
  </si>
  <si>
    <t xml:space="preserve">   - Năng suất</t>
  </si>
  <si>
    <t>Sầu riêng</t>
  </si>
  <si>
    <t>Chuối</t>
  </si>
  <si>
    <t>Vườn tạp, cây ăn quả khác</t>
  </si>
  <si>
    <t xml:space="preserve">ha </t>
  </si>
  <si>
    <t xml:space="preserve"> - Sản lượng các loại</t>
  </si>
  <si>
    <t>8.1</t>
  </si>
  <si>
    <t>Dứa</t>
  </si>
  <si>
    <t>8.2</t>
  </si>
  <si>
    <t>Măng cụt</t>
  </si>
  <si>
    <t>8.3</t>
  </si>
  <si>
    <t>Vườn cây tạp</t>
  </si>
  <si>
    <t>Diện tích cây lâm nghiệp khác</t>
  </si>
  <si>
    <t>tấn</t>
  </si>
  <si>
    <t>C</t>
  </si>
  <si>
    <t>CHĂN NUÔI</t>
  </si>
  <si>
    <t xml:space="preserve"> Trâu </t>
  </si>
  <si>
    <t xml:space="preserve">con </t>
  </si>
  <si>
    <t xml:space="preserve"> Bò </t>
  </si>
  <si>
    <t xml:space="preserve"> Heo </t>
  </si>
  <si>
    <t xml:space="preserve"> Gia cầm  </t>
  </si>
  <si>
    <t>1000con</t>
  </si>
  <si>
    <t>KẾ HOẠCH SẢN XUẤT NÔNG NGHIỆP NĂM  2013</t>
  </si>
  <si>
    <t>Đơn vị: Sở Nông nghiệp và Phát triển nông thôn</t>
  </si>
  <si>
    <t>(Kèm theo Tờ trình số: 1732/TTr-SKHĐT ngày 19/12/2012 của Sở Kế hoạch và Đầu tư)</t>
  </si>
  <si>
    <t>(Kèm theo Quyết định số 2603/QĐ-UBND ngày 25/12/2012 của UBND tỉnh Bình Phước)</t>
  </si>
  <si>
    <t>KẾ HOẠCH SẢN XUẤT NGÀNH CÔNG NGHIỆP NĂM 2013</t>
  </si>
  <si>
    <t xml:space="preserve">Chỉ tiêu </t>
  </si>
  <si>
    <t>ƯTH 
2012</t>
  </si>
  <si>
    <t>KH 
2013</t>
  </si>
  <si>
    <t>Chia huyện</t>
  </si>
  <si>
    <t>TX 
Đồng Xoài</t>
  </si>
  <si>
    <t>TX Bình Long</t>
  </si>
  <si>
    <t xml:space="preserve">TX Phước Long </t>
  </si>
  <si>
    <t>Đồng Phú</t>
  </si>
  <si>
    <t>Bù Gia Mập</t>
  </si>
  <si>
    <t>Lộc Ninh</t>
  </si>
  <si>
    <t>Bù Đốp</t>
  </si>
  <si>
    <t>Bù Đăng</t>
  </si>
  <si>
    <t>Chơn Thành</t>
  </si>
  <si>
    <t>Hớn Quản</t>
  </si>
  <si>
    <t>Giá trị SXCN (Giá so sánh 2010)</t>
  </si>
  <si>
    <t>Tỉ đồng</t>
  </si>
  <si>
    <t>Khu vực nhà nước</t>
  </si>
  <si>
    <t>Khu vực ngoài nhà nước</t>
  </si>
  <si>
    <t>Khu vực có vốn đầu tư nước ngoài</t>
  </si>
  <si>
    <t>Sản phẩm chủ yếu</t>
  </si>
  <si>
    <t>Đá xây dựng các loại</t>
  </si>
  <si>
    <t>1000m3</t>
  </si>
  <si>
    <t>-</t>
  </si>
  <si>
    <t>Gạch nung các loại</t>
  </si>
  <si>
    <t>1000 viên</t>
  </si>
  <si>
    <t>Hạt điều khô</t>
  </si>
  <si>
    <t>Tấn</t>
  </si>
  <si>
    <t>Tinh bột sắn, bột dong riềng</t>
  </si>
  <si>
    <t>Điện sản xuất</t>
  </si>
  <si>
    <t>Tr.KWh</t>
  </si>
  <si>
    <t>Xi măng Pooclan đen</t>
  </si>
  <si>
    <t>1000 tấn</t>
  </si>
  <si>
    <t>Clinke xi măng</t>
  </si>
  <si>
    <t>Mạch điện tử tích hợp</t>
  </si>
  <si>
    <t>1000SP</t>
  </si>
  <si>
    <t>Sản phẩm khác</t>
  </si>
  <si>
    <t>KẾ HOẠCH  SẢN XUẤT NGÀNH THƯƠNG MẠI NĂM 2013</t>
  </si>
  <si>
    <t>TT</t>
  </si>
  <si>
    <t xml:space="preserve">CHIỈ TIÊU </t>
  </si>
  <si>
    <t>Ước thực hiện 2012</t>
  </si>
  <si>
    <t>Ghi chú</t>
  </si>
  <si>
    <t>Kim ngạch xuất khẩu</t>
  </si>
  <si>
    <t>1000USD</t>
  </si>
  <si>
    <t>MẶT HÀNG CHỦ YẾU</t>
  </si>
  <si>
    <t>Mủ cao su thành phẩm</t>
  </si>
  <si>
    <t xml:space="preserve"> Tấn</t>
  </si>
  <si>
    <t>Hạt điều nhân</t>
  </si>
  <si>
    <t>Hàng nông sản khác</t>
  </si>
  <si>
    <t>Hàng điện tử</t>
  </si>
  <si>
    <t>Sản phẩm bằng gỗ</t>
  </si>
  <si>
    <t>Hàng dệt may</t>
  </si>
  <si>
    <t>Hàng hoá khác</t>
  </si>
  <si>
    <t>Kim ngạch nhập khẩu</t>
  </si>
  <si>
    <t>Hạt điều thô</t>
  </si>
  <si>
    <t>Bột mì</t>
  </si>
  <si>
    <t>Hàng linh kiện điện tử</t>
  </si>
  <si>
    <t>Tổng mức bán lẻ hàng hóa và dịch vụ tiêu dùng</t>
  </si>
  <si>
    <t>KẾ HOẠCH DÂN SỐ SỬ DỤNG ĐIỆN NĂM 2013</t>
  </si>
  <si>
    <t>Chỉ tiêu</t>
  </si>
  <si>
    <t>Đơn vị</t>
  </si>
  <si>
    <t>Kế hoạch năm 2013</t>
  </si>
  <si>
    <t>Tỷ lệ dân số sử dụng điện</t>
  </si>
  <si>
    <t>%</t>
  </si>
  <si>
    <t>KẾ HOẠCH DÂN SỐ SỬ DỤNG NƯỚC SẠCH VÀ TỶ LỆ CHE PHỦ RỪNG 
NĂM 2013</t>
  </si>
  <si>
    <t>Tỷ lệ dân số sử dụng nước sạch</t>
  </si>
  <si>
    <t>Tỷ lệ che phủ rừng</t>
  </si>
  <si>
    <t xml:space="preserve"> -</t>
  </si>
  <si>
    <t>Tỷ lệ che phủ chung toàn tỉnh</t>
  </si>
  <si>
    <t>Tỷ lệ che phủ của rừng</t>
  </si>
  <si>
    <t>KẾ HOẠCH DẠY NGHỀ VÀ GIẢI QUYẾT VIỆC LÀM NĂM 2013</t>
  </si>
  <si>
    <t>Toàn tỉnh</t>
  </si>
  <si>
    <t>CHIA THEO HUYỆN, THỊ</t>
  </si>
  <si>
    <t xml:space="preserve"> Đồng Xoài</t>
  </si>
  <si>
    <t>Bình Long</t>
  </si>
  <si>
    <t>Phước Long</t>
  </si>
  <si>
    <t xml:space="preserve">TTGTVL tỉnh </t>
  </si>
  <si>
    <t>Số lao động được giải quyết việc làm mới trong năm</t>
  </si>
  <si>
    <t>Người</t>
  </si>
  <si>
    <t>Trong đó:</t>
  </si>
  <si>
    <t xml:space="preserve"> - Lao động nữ</t>
  </si>
  <si>
    <t xml:space="preserve"> - Số lao động được giải quyết việc làm mới từ Quỹ cho vay giải quyết việc làm</t>
  </si>
  <si>
    <t>Số lao động xuất khẩu trong năm</t>
  </si>
  <si>
    <t>Số người trong độ tuổi lao động có khả năng lao động</t>
  </si>
  <si>
    <t xml:space="preserve">Số lao động qua đào tạo nghề hàng năm </t>
  </si>
  <si>
    <t>Tỷ lệ lao động được đào tạo so với tổng số lao động</t>
  </si>
  <si>
    <t>Số hộ được vay vốn tạo việc làm</t>
  </si>
  <si>
    <t xml:space="preserve">hộ </t>
  </si>
  <si>
    <t>Tỷ lệ lao động trong độ tuổi chưa có việc làm ở khu vực thành thị</t>
  </si>
  <si>
    <t>&lt;3,3</t>
  </si>
  <si>
    <t>Tỷ lệ sử dụng thời gian lao động của lực lượng lao động trong độ tuổi ở nông thôn</t>
  </si>
  <si>
    <t>&gt;90</t>
  </si>
  <si>
    <t>KẾ HOẠCH HOẠT ĐỘNG VĂN HÓA - THỂ THAO VÀ DU LỊCH NĂM 2013</t>
  </si>
  <si>
    <t>Hoạt động thể thao quần chúng</t>
  </si>
  <si>
    <t>Số người tập luyện thường xuyên</t>
  </si>
  <si>
    <t>Tỷ lệ so với tổng dân số</t>
  </si>
  <si>
    <t>Số hộ gia đình thể thao</t>
  </si>
  <si>
    <t>Gia đình</t>
  </si>
  <si>
    <t>Tỷ lệ so với tổng số hộ</t>
  </si>
  <si>
    <t xml:space="preserve">Tỷ lệ số trường học thực hiện giáo dục thể chất </t>
  </si>
  <si>
    <t>Số trường hoạt động TDTT ngoại khóa</t>
  </si>
  <si>
    <t>Trường</t>
  </si>
  <si>
    <t>Tỷ lệ so với tổng số trường học</t>
  </si>
  <si>
    <t>Số CLB thể dục thể thao</t>
  </si>
  <si>
    <t>CLB</t>
  </si>
  <si>
    <t>Thể thao thành tích cao</t>
  </si>
  <si>
    <t>Đào tạo VĐV năng khiếu ban đầu</t>
  </si>
  <si>
    <t>VĐV</t>
  </si>
  <si>
    <t>Đào tạo vận động viên đội tuyển</t>
  </si>
  <si>
    <t>Số VĐV đạt đẳng cấp</t>
  </si>
  <si>
    <t>Số huy chương qua thi đấu các giải khu vực và toàn quốc</t>
  </si>
  <si>
    <t>HC</t>
  </si>
  <si>
    <t xml:space="preserve"> - Huy chương vàng</t>
  </si>
  <si>
    <t xml:space="preserve"> - Huy chương bạc</t>
  </si>
  <si>
    <t xml:space="preserve"> - Huy chương đồng</t>
  </si>
  <si>
    <t>Hoạt động du lịch</t>
  </si>
  <si>
    <t>Tổng số lượt khách</t>
  </si>
  <si>
    <t>Lượt người</t>
  </si>
  <si>
    <t xml:space="preserve"> - Khách nội địa</t>
  </si>
  <si>
    <t xml:space="preserve"> - Khách quốc tế</t>
  </si>
  <si>
    <t>Tổng doanh thu</t>
  </si>
  <si>
    <t>Tỷ đồng</t>
  </si>
  <si>
    <t xml:space="preserve">Họat động gia đình </t>
  </si>
  <si>
    <t>Số trung tâm hỗ trợ nạn nhân BLGĐ</t>
  </si>
  <si>
    <t>Số trung tâm tư vấn gia đình và phòng chống BLGĐ</t>
  </si>
  <si>
    <t>Tỷ lệ xã, phường có ban chỉ đạo mô hình chống BLGĐ</t>
  </si>
  <si>
    <t>Tỷ lệ xã, phường có CLB gia đình phát triển</t>
  </si>
  <si>
    <t>Tỷ lệ xã, phường có tổ chức hoạt động tuyên truyền giáo dục đời sống gia đình</t>
  </si>
  <si>
    <t>Tỷ lệ xã, phường xây dựng kế hoạch công tác gia đình và phòng chống BLGĐ</t>
  </si>
  <si>
    <t>V</t>
  </si>
  <si>
    <t>Hoạt động ngành thư viện</t>
  </si>
  <si>
    <t>Tổng số thư viện trên địa bàn tỉnh</t>
  </si>
  <si>
    <t>Thư viện</t>
  </si>
  <si>
    <t>Tổng số sách có trong thư viện</t>
  </si>
  <si>
    <t>Đầu sách</t>
  </si>
  <si>
    <t>Tổng số báo, tạp chí trong thư viện</t>
  </si>
  <si>
    <t>Tờ</t>
  </si>
  <si>
    <t>VI</t>
  </si>
  <si>
    <t>Hoạt động bảo tồn, bảo tàng</t>
  </si>
  <si>
    <t>Nhà bảo tàng, nhà truyền thống</t>
  </si>
  <si>
    <t>Nhà</t>
  </si>
  <si>
    <t>Di tích lịch sử, văn hóa</t>
  </si>
  <si>
    <t>Di tích</t>
  </si>
  <si>
    <t>Hiện vật</t>
  </si>
  <si>
    <t>Tổng số di tích được sửa chữa tu bổ</t>
  </si>
  <si>
    <t>VII</t>
  </si>
  <si>
    <t>Hoạt động nhà văn hóa-TT lưu động</t>
  </si>
  <si>
    <t>Hoạt động thông tin tuyên truyền</t>
  </si>
  <si>
    <t>Tổng số đội thông tin lưu động</t>
  </si>
  <si>
    <t>Đội</t>
  </si>
  <si>
    <t>Số buổi hoạt động</t>
  </si>
  <si>
    <t>Buổi</t>
  </si>
  <si>
    <t>Hoạt động văn hóa quần chúng</t>
  </si>
  <si>
    <t>Tổng số nhà văn hóa</t>
  </si>
  <si>
    <t>Tổng số câu lạc bộ văn hóa</t>
  </si>
  <si>
    <t>Số xã phường có nhà văn hóa, thư viện</t>
  </si>
  <si>
    <t>xã, phường</t>
  </si>
  <si>
    <t>VIII</t>
  </si>
  <si>
    <t>Hoạt động nghệ thuật</t>
  </si>
  <si>
    <t>Số đoàn hoạt động chuyên nghiệp</t>
  </si>
  <si>
    <t>Đoàn</t>
  </si>
  <si>
    <t xml:space="preserve"> -Đoàn do ngành VHTT quản lý</t>
  </si>
  <si>
    <t>"</t>
  </si>
  <si>
    <t xml:space="preserve"> -Đoàn do ngành khác quản lý</t>
  </si>
  <si>
    <t>IX</t>
  </si>
  <si>
    <t>Hoạt động phát hành phim và chiếu bóng</t>
  </si>
  <si>
    <t>Rạp chiếu bóng</t>
  </si>
  <si>
    <t>Rạp</t>
  </si>
  <si>
    <t>Đội chiếu bóng</t>
  </si>
  <si>
    <t>Số buổi chiếu</t>
  </si>
  <si>
    <t>Số lượt người xem</t>
  </si>
  <si>
    <t>1000 người</t>
  </si>
  <si>
    <t>X</t>
  </si>
  <si>
    <t>Hoạt động phong trào "Toàn dân đoàn kết xây dựng đời sống 
văn hóa"</t>
  </si>
  <si>
    <t>Tỷ lệ hộ gia đình đăng ký thực hiện gia đình văn hóa"</t>
  </si>
  <si>
    <t>Tỷ lệ hộ gia đình đạt danh hiệu "Gia đình văn hóa"</t>
  </si>
  <si>
    <t>Tỷ lệ khu dân cư đạt danh hiệu tiên tiến (xuất sắc)</t>
  </si>
  <si>
    <t>Tỷ lệ cơ quan đăng ký "nếp sống văn minh"</t>
  </si>
  <si>
    <t>Tỷ lệ cơ quan đạt danh hiệu"nếp sống văn minh"</t>
  </si>
  <si>
    <t>Tỷ lệ xã phường có nhà văn hóa thư viện</t>
  </si>
  <si>
    <t>Tỷ lệ xã phường có bưu điện văn hóa</t>
  </si>
  <si>
    <t>Số điểm vui chơi giải trí</t>
  </si>
  <si>
    <t>Điểm</t>
  </si>
  <si>
    <t>KẾ HOẠCH DÂN SỐ NĂM 2013</t>
  </si>
  <si>
    <t>Bình  Long</t>
  </si>
  <si>
    <t xml:space="preserve">Dân số đầu kỳ </t>
  </si>
  <si>
    <t>Số sinh</t>
  </si>
  <si>
    <t>Số chết</t>
  </si>
  <si>
    <t>Tăng cơ học</t>
  </si>
  <si>
    <t>Dân số cuối kỳ</t>
  </si>
  <si>
    <t>Dân số trung bình</t>
  </si>
  <si>
    <t xml:space="preserve">Tỷ lệ sinh </t>
  </si>
  <si>
    <t>%o</t>
  </si>
  <si>
    <t xml:space="preserve">Tỷ lệ chết </t>
  </si>
  <si>
    <t>Tỷ lệ tăng tự nhiên</t>
  </si>
  <si>
    <t>Tỷ lệ giảm sinh</t>
  </si>
  <si>
    <t xml:space="preserve">Tỷ lệ phát triển dân số </t>
  </si>
  <si>
    <t>Số người mới sử dụng biện phát tránh thai</t>
  </si>
  <si>
    <t>KẾ HOẠCH PHÁT THANH TRUYỀN HÌNH NĂM 2013</t>
  </si>
  <si>
    <t>Số giờ phát hình</t>
  </si>
  <si>
    <t>giờ/năm</t>
  </si>
  <si>
    <t>Số giờ phát thanh</t>
  </si>
  <si>
    <t>Thời lượng phát hình bằng tiếng dân tộc</t>
  </si>
  <si>
    <t>Thời lượng phát thanh bằng tiếng dân tộc</t>
  </si>
  <si>
    <t>Số hộ được xem đài truyền hình Việt Nam</t>
  </si>
  <si>
    <t>hộ</t>
  </si>
  <si>
    <t>Tỷ lệ hộ xem được xem truyền hình Việt Nam</t>
  </si>
  <si>
    <t>Số hộ được nghe đài tiếng nói Việt Nam</t>
  </si>
  <si>
    <t>Tỷ lệ hộ được nghe phát thanh Việt Nam</t>
  </si>
  <si>
    <t>KẾ HOẠCH TUYỂN MỚI ĐÀO TẠO NĂM 2013</t>
  </si>
  <si>
    <t>Hệ đào tạo</t>
  </si>
  <si>
    <t>Kế hoạch 
năm 2013</t>
  </si>
  <si>
    <t>Đào tạo bồi dưỡng cán bộ công chức nhà nước</t>
  </si>
  <si>
    <t>Đại học</t>
  </si>
  <si>
    <t>Hệ cử tuyển</t>
  </si>
  <si>
    <t>Cao đẳng</t>
  </si>
  <si>
    <t>KẾ HOẠCH SỰ NGHIỆP GIÁO DỤC ĐÀO TẠO NĂM 2013</t>
  </si>
  <si>
    <t>NĂM HỌC 2013- 2014</t>
  </si>
  <si>
    <t>Chia theo huyện, thị xã</t>
  </si>
  <si>
    <t>TX Đồng Xoài</t>
  </si>
  <si>
    <t>TX Phước Long</t>
  </si>
  <si>
    <t>Nhà trẻ</t>
  </si>
  <si>
    <t xml:space="preserve">   -  Số cháu</t>
  </si>
  <si>
    <t>cháu</t>
  </si>
  <si>
    <t xml:space="preserve">   -  Số cô</t>
  </si>
  <si>
    <t>cô</t>
  </si>
  <si>
    <t>Mẫu Giáo</t>
  </si>
  <si>
    <t xml:space="preserve">   -  Số học sinh</t>
  </si>
  <si>
    <t>h/sinh</t>
  </si>
  <si>
    <t>Trong đó: học sinh dân tộc thiểu số</t>
  </si>
  <si>
    <t xml:space="preserve">   - Số lớp</t>
  </si>
  <si>
    <t>Lớp</t>
  </si>
  <si>
    <t xml:space="preserve">   - Số giáo viên</t>
  </si>
  <si>
    <t>g/viên</t>
  </si>
  <si>
    <t xml:space="preserve">   - Tỷ lệ trẻ em trong độ tuổi đi học mẫu giáo</t>
  </si>
  <si>
    <t xml:space="preserve">Phổ thông </t>
  </si>
  <si>
    <t>Tổng số học sinh đầu năm học</t>
  </si>
  <si>
    <t xml:space="preserve">   - Tiểu học</t>
  </si>
  <si>
    <t xml:space="preserve">   - Trung học cơ sở</t>
  </si>
  <si>
    <t>trong đó: học sinh dân tộc thiểu số</t>
  </si>
  <si>
    <t xml:space="preserve">    - Phổ thông trung học</t>
  </si>
  <si>
    <t>Tổng số lớp</t>
  </si>
  <si>
    <t>lớp</t>
  </si>
  <si>
    <t xml:space="preserve">    - Tiểu học </t>
  </si>
  <si>
    <t xml:space="preserve">    - Trung học cơ sở</t>
  </si>
  <si>
    <t xml:space="preserve">    - Trung học phổ thông</t>
  </si>
  <si>
    <t>Tổng số giáo viên</t>
  </si>
  <si>
    <t>Tỷ lệ học sinh đi học đúng độ tuổi</t>
  </si>
  <si>
    <t xml:space="preserve">Số xã, phường có trường tiểu học, nhà trẻ, mẫu giáo </t>
  </si>
  <si>
    <t>xã</t>
  </si>
  <si>
    <t>Tỷ lệ % trên tổng số xã, phường</t>
  </si>
  <si>
    <t>Số học sinh được phổ cập giáo dục THCS</t>
  </si>
  <si>
    <t>Học sinh</t>
  </si>
  <si>
    <t>Số xã đạt phổ cập THCS</t>
  </si>
  <si>
    <t>Tỷ lệ xã đạt phổ cập THCS</t>
  </si>
  <si>
    <t>Số huyện đạt phổ cập THCS</t>
  </si>
  <si>
    <t>huyện</t>
  </si>
  <si>
    <t>Tỷ lệ huyện đạt phổ cập THCS</t>
  </si>
  <si>
    <t>Bổ túc văn hóa</t>
  </si>
  <si>
    <t>Xóa mù chữ</t>
  </si>
  <si>
    <t>Sau xóa mù chữ</t>
  </si>
  <si>
    <t>Tỷ lệ phổ cập mầm non 5 tuổi</t>
  </si>
  <si>
    <t>Tỷ lệ phổ cập giáo dục tiêu học đúng độ tuổi</t>
  </si>
  <si>
    <t>CHỈ TIÊU KẾ HOẠCH NGÀNH Y TẾ NĂM 2013</t>
  </si>
  <si>
    <t>Đơn vị tính</t>
  </si>
  <si>
    <t>Dự án Phòng chống sốt rét</t>
  </si>
  <si>
    <t>Số bệnh nhân sốt rét</t>
  </si>
  <si>
    <t>nghìn người</t>
  </si>
  <si>
    <t>Dân số được bảo vệ PCSR bằng phun hóa chất, tẩm màng</t>
  </si>
  <si>
    <t>1000 dân</t>
  </si>
  <si>
    <t>Số lượt bệnh nhân điều trị sốt rét</t>
  </si>
  <si>
    <t>lượt</t>
  </si>
  <si>
    <t>Dự án phòng chống lao</t>
  </si>
  <si>
    <t xml:space="preserve">Phát hiện bệnh nhân AFB(+) mới </t>
  </si>
  <si>
    <t>người</t>
  </si>
  <si>
    <t>Tỷ lệ điều trị khỏi và hoàn thành điều trị</t>
  </si>
  <si>
    <t>&gt;85</t>
  </si>
  <si>
    <t>Dự án phòng chống phong</t>
  </si>
  <si>
    <t>Số người được khám phát hiện</t>
  </si>
  <si>
    <t>Số bệnh nhân mới được phát hiện</t>
  </si>
  <si>
    <t>bệnh nhân</t>
  </si>
  <si>
    <t>Số bệnh nhân đa hóa trị liệu</t>
  </si>
  <si>
    <t>Số bệnh nhân được chăm sóc tàn tật</t>
  </si>
  <si>
    <t>Dự án phòng chống sốt xuất huyết</t>
  </si>
  <si>
    <t>Tỷ lệ mắc</t>
  </si>
  <si>
    <t>/100.000 dân</t>
  </si>
  <si>
    <t>Dự án phòng chống SDD trẻ em</t>
  </si>
  <si>
    <t xml:space="preserve"> Tỷ lệ trẻ em dưới 5 tuổi bị SDD (cân nặng/tuổi)</t>
  </si>
  <si>
    <t xml:space="preserve"> Tỷ lệ trẻ em dưới 5 tuổi bị SDD (chiều cao/tuổi)</t>
  </si>
  <si>
    <t>Dự án tiêm chủng mở rộng</t>
  </si>
  <si>
    <t>Số trẻ em &lt;1tuổi tiêm chủng đầy đủ</t>
  </si>
  <si>
    <t>trẻ</t>
  </si>
  <si>
    <t xml:space="preserve">Tỷ lệ trẻ em dưới 1 tuổi được tiêm chủng đầy đủ </t>
  </si>
  <si>
    <t>&gt;95</t>
  </si>
  <si>
    <t>Dự án bảo vệ sức khỏe tâm thần cộng đồng</t>
  </si>
  <si>
    <t>Số xã triển khai dự án</t>
  </si>
  <si>
    <t>Số bệnh nhân được chữa ổn định</t>
  </si>
  <si>
    <t>Dự án đảm bảo chất lượng vệ sinh ATTP</t>
  </si>
  <si>
    <t>Cơ sở KD thực phẩm &amp; DV ăn uống đạt tiêu chuẩn</t>
  </si>
  <si>
    <t xml:space="preserve">Tỷ lệ khống chế tối đa dân mắc ngộ độc thực phẩm trên 100.000 dân </t>
  </si>
  <si>
    <t>% dân mắc/100.000 dân</t>
  </si>
  <si>
    <t>Số xã phường đạt tiêu chuẩn VSTP thức ăn đường phố</t>
  </si>
  <si>
    <t>Dự án PC HIV/AIDS</t>
  </si>
  <si>
    <t>Số mẫu giám sát HIV</t>
  </si>
  <si>
    <t>mẫu</t>
  </si>
  <si>
    <t>Tỷ lệ người nhiễm HIV được quản lý, tư vấn và chữa trị</t>
  </si>
  <si>
    <t>Dự án phòng chống bướu cổ</t>
  </si>
  <si>
    <t>Tỷ lệ độ phủ muối I ốt</t>
  </si>
  <si>
    <t>Tỷ lệ bướu cổ</t>
  </si>
  <si>
    <t>XI</t>
  </si>
  <si>
    <t>Sự nghiệp bảo hiểm y tế</t>
  </si>
  <si>
    <t>Tỷ lệ bao phủ bảo hiểm y tế</t>
  </si>
  <si>
    <t>Số người tham gia bảo hiểm y tế bắt buộc</t>
  </si>
  <si>
    <t>XII</t>
  </si>
  <si>
    <t>Cung cấp các dịch vụ cơ sở hạ tầng thiết yếu</t>
  </si>
  <si>
    <t>Số xã có trạm y tế</t>
  </si>
  <si>
    <t xml:space="preserve"> - Tỷ lệ % trên tổng số xã</t>
  </si>
  <si>
    <t>Trong đó:  
+ Số xã đạt chuẩn quốc gia về y tế (theo chuẩn mới)</t>
  </si>
  <si>
    <t>+ Tỷ lệ đạt chuẩn quốc gia về y tế (theo chuẩn mới)</t>
  </si>
  <si>
    <t>Số giường bệnh/10.000 dân</t>
  </si>
  <si>
    <t>giường</t>
  </si>
  <si>
    <t>Số bác sỹ/10.000 dân</t>
  </si>
  <si>
    <t>bác sỹ</t>
  </si>
  <si>
    <t>Tỷ lệ trạm y tế xã có bác sỹ</t>
  </si>
  <si>
    <t>KẾ HOẠCH CHƯƠNG TRÌNH GIẢM NGHÈO NĂM 2013</t>
  </si>
  <si>
    <t>Số TT</t>
  </si>
  <si>
    <t>Tổng số hộ của toàn tỉnh</t>
  </si>
  <si>
    <t>Hộ</t>
  </si>
  <si>
    <t>Số hộ nghèo theo chuẩn mới quốc gia</t>
  </si>
  <si>
    <t>Tỷ lệ hộ nghèo theo chuẩn mới quốc gia</t>
  </si>
  <si>
    <t>Số hộ thoát khỏi đói nghèo trong năm</t>
  </si>
  <si>
    <t>CHỈ TIÊU KẾ HOẠCH GIƯỜNG BỆNH NĂM 2013</t>
  </si>
  <si>
    <t>Huyện, Thị xã</t>
  </si>
  <si>
    <t>Chia ra</t>
  </si>
  <si>
    <t>Giường bệnh viện</t>
  </si>
  <si>
    <t>Giường bệnh tại trung tâm y tế huyện, thị</t>
  </si>
  <si>
    <t>Giường phòng khám khu vực</t>
  </si>
  <si>
    <t>Giường trạm y tế</t>
  </si>
  <si>
    <t>TỔNG CỘNG</t>
  </si>
  <si>
    <t>Thị xã Đồng Xoài</t>
  </si>
  <si>
    <t>Huyện Đồng Phú</t>
  </si>
  <si>
    <t xml:space="preserve">Huyện Bình Long </t>
  </si>
  <si>
    <t>Huyện Chơn Thành</t>
  </si>
  <si>
    <t>Huyện Lộc Ninh</t>
  </si>
  <si>
    <t>Huyện Bù Đốp</t>
  </si>
  <si>
    <t>Huyện Phước Long</t>
  </si>
  <si>
    <t xml:space="preserve">Huyện Bù Đăng </t>
  </si>
  <si>
    <t>Huyện Hớn Quản</t>
  </si>
  <si>
    <t>Huyện Bù Gia Mập</t>
  </si>
  <si>
    <t>Bệnh viện tỉnh</t>
  </si>
  <si>
    <t>Bệnh viện y học cổ truyền</t>
  </si>
  <si>
    <t>Tỷ lệ phổ cập giáo dục tiểu học đúng độ tuổi</t>
  </si>
  <si>
    <t>MỘT SỐ CHỈ TIÊU KINH TẾ XÃ HỘI CHỦ YẾU NĂM 2013</t>
  </si>
  <si>
    <t>Ước 2012</t>
  </si>
  <si>
    <t>Chỉ tiêu kinh tế</t>
  </si>
  <si>
    <t>Tốc độ tăng GDP (giá ss 1994)</t>
  </si>
  <si>
    <t>11,5 - 12</t>
  </si>
  <si>
    <t xml:space="preserve"> - Công nghiệp - xây dựng</t>
  </si>
  <si>
    <t>19-19,5</t>
  </si>
  <si>
    <t xml:space="preserve"> 5 - 6</t>
  </si>
  <si>
    <t xml:space="preserve"> - Dịch vụ</t>
  </si>
  <si>
    <t>15 - 15,5</t>
  </si>
  <si>
    <t>GDP bình quân đầu nguời</t>
  </si>
  <si>
    <t>Tr.đồng</t>
  </si>
  <si>
    <t>Xuất nhập khẩu</t>
  </si>
  <si>
    <t xml:space="preserve"> - Tổng kim ngạch xuất khẩu</t>
  </si>
  <si>
    <t>Tr.USD</t>
  </si>
  <si>
    <t xml:space="preserve"> - Tổng kim ngạch nhập khẩu</t>
  </si>
  <si>
    <t>Thu ngân sách (thu nội địa và XNK)</t>
  </si>
  <si>
    <t>Chi ngân sách</t>
  </si>
  <si>
    <t>Chỉ tiêu xã hội, môi trường</t>
  </si>
  <si>
    <t>Mức giảm sinh</t>
  </si>
  <si>
    <t>Tỷ lệ xã phường phổ cập THCS</t>
  </si>
  <si>
    <t>Tỷ lệ trẻ em dưới 5 tuổi suy dinh dưỡng</t>
  </si>
  <si>
    <t>Tỷ lệ trạm y tế có bác sỹ</t>
  </si>
  <si>
    <t>Số giường bệnh/vạn dân</t>
  </si>
  <si>
    <t>Giường</t>
  </si>
  <si>
    <t>Số bác sỹ / vạn dân</t>
  </si>
  <si>
    <t>Bác sỹ</t>
  </si>
  <si>
    <t>Tỷ lệ giảm nghèo/năm</t>
  </si>
  <si>
    <t>Lao động được giải quyết việc làm</t>
  </si>
  <si>
    <t>Tỷ lệ lao động qua đào tạo</t>
  </si>
  <si>
    <t>Tỷ lệ thất nghiệp khu vực thành thị</t>
  </si>
  <si>
    <t>&lt;3,5</t>
  </si>
  <si>
    <t>Tỷ lệ hộ dân sử dụng điện</t>
  </si>
  <si>
    <t>Tỷ lệ dân số dùng nước hợp vệ sinh</t>
  </si>
  <si>
    <t>Tỷ lệ che phủ rừng chung</t>
  </si>
  <si>
    <t>59,39</t>
  </si>
  <si>
    <t xml:space="preserve"> - Nông, lâm, thủy sản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</si>
</sst>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#,##0.000"/>
    <numFmt numFmtId="169" formatCode="#,##0.00;[Red]#,##0.00"/>
    <numFmt numFmtId="170" formatCode="#,##0;[Red]#,##0"/>
    <numFmt numFmtId="171" formatCode="0.00;[Red]0.00"/>
  </numFmts>
  <fonts count="34">
    <font>
      <sz val="10"/>
      <name val="Times New Roman"/>
      <family val="0"/>
    </font>
    <font>
      <b/>
      <sz val="12"/>
      <name val="Times New Roman"/>
      <family val="1"/>
    </font>
    <font>
      <sz val="12"/>
      <name val="VNI-Times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0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3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0"/>
      <name val="VNI Times"/>
      <family val="0"/>
    </font>
    <font>
      <sz val="11"/>
      <name val="VNI-Times"/>
      <family val="0"/>
    </font>
    <font>
      <sz val="13"/>
      <name val="VNI-Times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0"/>
      <name val="VNI-Times"/>
      <family val="0"/>
    </font>
    <font>
      <b/>
      <sz val="11"/>
      <name val="VNI-Times"/>
      <family val="0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3" fontId="3" fillId="0" borderId="1" xfId="20" applyNumberFormat="1" applyFont="1" applyFill="1" applyBorder="1" applyAlignment="1">
      <alignment horizontal="center" vertical="center"/>
      <protection/>
    </xf>
    <xf numFmtId="3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left" vertical="center"/>
      <protection/>
    </xf>
    <xf numFmtId="166" fontId="3" fillId="0" borderId="2" xfId="20" applyNumberFormat="1" applyFont="1" applyFill="1" applyBorder="1" applyAlignment="1">
      <alignment horizontal="center" vertical="center"/>
      <protection/>
    </xf>
    <xf numFmtId="164" fontId="3" fillId="0" borderId="2" xfId="20" applyNumberFormat="1" applyFont="1" applyFill="1" applyBorder="1" applyAlignment="1">
      <alignment horizontal="right" vertical="center"/>
      <protection/>
    </xf>
    <xf numFmtId="165" fontId="3" fillId="0" borderId="2" xfId="15" applyNumberFormat="1" applyFont="1" applyFill="1" applyBorder="1" applyAlignment="1">
      <alignment horizontal="center" vertical="center"/>
    </xf>
    <xf numFmtId="165" fontId="3" fillId="0" borderId="2" xfId="15" applyNumberFormat="1" applyFont="1" applyFill="1" applyBorder="1" applyAlignment="1">
      <alignment horizontal="left" vertical="center"/>
    </xf>
    <xf numFmtId="165" fontId="3" fillId="0" borderId="2" xfId="15" applyNumberFormat="1" applyFont="1" applyFill="1" applyBorder="1" applyAlignment="1">
      <alignment horizontal="right" vertical="center"/>
    </xf>
    <xf numFmtId="0" fontId="4" fillId="0" borderId="2" xfId="20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3" fontId="3" fillId="0" borderId="2" xfId="20" applyNumberFormat="1" applyFont="1" applyFill="1" applyBorder="1" applyAlignment="1">
      <alignment horizontal="right" vertical="center"/>
      <protection/>
    </xf>
    <xf numFmtId="165" fontId="3" fillId="0" borderId="2" xfId="15" applyNumberFormat="1" applyFont="1" applyFill="1" applyBorder="1" applyAlignment="1">
      <alignment vertical="center"/>
    </xf>
    <xf numFmtId="165" fontId="5" fillId="0" borderId="2" xfId="15" applyNumberFormat="1" applyFont="1" applyFill="1" applyBorder="1" applyAlignment="1">
      <alignment horizontal="center" vertical="center"/>
    </xf>
    <xf numFmtId="165" fontId="0" fillId="0" borderId="2" xfId="15" applyNumberFormat="1" applyFont="1" applyFill="1" applyBorder="1" applyAlignment="1">
      <alignment vertical="center"/>
    </xf>
    <xf numFmtId="165" fontId="5" fillId="0" borderId="2" xfId="15" applyNumberFormat="1" applyFont="1" applyFill="1" applyBorder="1" applyAlignment="1">
      <alignment horizontal="right" vertical="center"/>
    </xf>
    <xf numFmtId="165" fontId="5" fillId="0" borderId="2" xfId="15" applyNumberFormat="1" applyFont="1" applyFill="1" applyBorder="1" applyAlignment="1">
      <alignment vertical="center"/>
    </xf>
    <xf numFmtId="165" fontId="5" fillId="0" borderId="2" xfId="15" applyNumberFormat="1" applyFont="1" applyFill="1" applyBorder="1" applyAlignment="1">
      <alignment/>
    </xf>
    <xf numFmtId="2" fontId="5" fillId="0" borderId="2" xfId="20" applyNumberFormat="1" applyFont="1" applyFill="1" applyBorder="1" applyAlignment="1">
      <alignment horizontal="left" vertical="center"/>
      <protection/>
    </xf>
    <xf numFmtId="2" fontId="5" fillId="0" borderId="2" xfId="20" applyNumberFormat="1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right" vertical="center"/>
      <protection/>
    </xf>
    <xf numFmtId="4" fontId="5" fillId="0" borderId="2" xfId="20" applyNumberFormat="1" applyFont="1" applyFill="1" applyBorder="1" applyAlignment="1">
      <alignment horizontal="right" vertical="center"/>
      <protection/>
    </xf>
    <xf numFmtId="4" fontId="0" fillId="0" borderId="2" xfId="0" applyNumberFormat="1" applyFont="1" applyFill="1" applyBorder="1" applyAlignment="1">
      <alignment horizontal="right" vertical="top" wrapText="1"/>
    </xf>
    <xf numFmtId="164" fontId="6" fillId="0" borderId="2" xfId="20" applyNumberFormat="1" applyFont="1" applyFill="1" applyBorder="1" applyAlignment="1">
      <alignment horizontal="left" vertical="center"/>
      <protection/>
    </xf>
    <xf numFmtId="164" fontId="6" fillId="0" borderId="2" xfId="20" applyNumberFormat="1" applyFont="1" applyFill="1" applyBorder="1" applyAlignment="1">
      <alignment horizontal="center" vertical="center"/>
      <protection/>
    </xf>
    <xf numFmtId="3" fontId="6" fillId="0" borderId="2" xfId="20" applyNumberFormat="1" applyFont="1" applyFill="1" applyBorder="1" applyAlignment="1">
      <alignment horizontal="right" vertical="center"/>
      <protection/>
    </xf>
    <xf numFmtId="0" fontId="5" fillId="0" borderId="2" xfId="20" applyFont="1" applyFill="1" applyBorder="1" applyAlignment="1">
      <alignment vertical="center"/>
      <protection/>
    </xf>
    <xf numFmtId="43" fontId="5" fillId="0" borderId="2" xfId="15" applyFont="1" applyFill="1" applyBorder="1" applyAlignment="1">
      <alignment vertical="center"/>
    </xf>
    <xf numFmtId="43" fontId="5" fillId="0" borderId="2" xfId="15" applyFont="1" applyFill="1" applyBorder="1" applyAlignment="1">
      <alignment/>
    </xf>
    <xf numFmtId="165" fontId="5" fillId="0" borderId="2" xfId="17" applyNumberFormat="1" applyFont="1" applyFill="1" applyBorder="1" applyAlignment="1">
      <alignment vertical="center"/>
    </xf>
    <xf numFmtId="164" fontId="6" fillId="0" borderId="2" xfId="20" applyNumberFormat="1" applyFont="1" applyFill="1" applyBorder="1" applyAlignment="1">
      <alignment vertical="center"/>
      <protection/>
    </xf>
    <xf numFmtId="164" fontId="0" fillId="0" borderId="2" xfId="20" applyNumberFormat="1" applyFont="1" applyFill="1" applyBorder="1" applyAlignment="1">
      <alignment vertical="center"/>
      <protection/>
    </xf>
    <xf numFmtId="164" fontId="5" fillId="0" borderId="2" xfId="20" applyNumberFormat="1" applyFont="1" applyFill="1" applyBorder="1" applyAlignment="1">
      <alignment horizontal="left" vertical="center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164" fontId="4" fillId="0" borderId="2" xfId="20" applyNumberFormat="1" applyFont="1" applyFill="1" applyBorder="1" applyAlignment="1">
      <alignment horizontal="left" vertic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3" fontId="7" fillId="0" borderId="2" xfId="20" applyNumberFormat="1" applyFont="1" applyFill="1" applyBorder="1" applyAlignment="1">
      <alignment vertical="center"/>
      <protection/>
    </xf>
    <xf numFmtId="2" fontId="5" fillId="0" borderId="2" xfId="20" applyNumberFormat="1" applyFont="1" applyFill="1" applyBorder="1" applyAlignment="1">
      <alignment/>
      <protection/>
    </xf>
    <xf numFmtId="165" fontId="5" fillId="0" borderId="2" xfId="15" applyNumberFormat="1" applyFont="1" applyFill="1" applyBorder="1" applyAlignment="1">
      <alignment vertical="center"/>
    </xf>
    <xf numFmtId="165" fontId="5" fillId="0" borderId="2" xfId="15" applyNumberFormat="1" applyFont="1" applyFill="1" applyBorder="1" applyAlignment="1">
      <alignment/>
    </xf>
    <xf numFmtId="0" fontId="5" fillId="0" borderId="2" xfId="20" applyFont="1" applyFill="1" applyBorder="1" applyAlignment="1">
      <alignment vertical="center"/>
      <protection/>
    </xf>
    <xf numFmtId="0" fontId="5" fillId="0" borderId="2" xfId="20" applyFont="1" applyFill="1" applyBorder="1" applyAlignment="1">
      <alignment/>
      <protection/>
    </xf>
    <xf numFmtId="165" fontId="5" fillId="0" borderId="2" xfId="17" applyNumberFormat="1" applyFont="1" applyFill="1" applyBorder="1" applyAlignment="1">
      <alignment vertical="center"/>
    </xf>
    <xf numFmtId="3" fontId="6" fillId="0" borderId="2" xfId="20" applyNumberFormat="1" applyFont="1" applyFill="1" applyBorder="1" applyAlignment="1">
      <alignment horizontal="right" vertical="center"/>
      <protection/>
    </xf>
    <xf numFmtId="165" fontId="8" fillId="0" borderId="0" xfId="15" applyNumberFormat="1" applyFont="1" applyFill="1" applyAlignment="1">
      <alignment/>
    </xf>
    <xf numFmtId="2" fontId="5" fillId="0" borderId="2" xfId="20" applyNumberFormat="1" applyFont="1" applyFill="1" applyBorder="1" applyAlignment="1">
      <alignment horizontal="right" vertical="center"/>
      <protection/>
    </xf>
    <xf numFmtId="164" fontId="3" fillId="0" borderId="2" xfId="20" applyNumberFormat="1" applyFont="1" applyFill="1" applyBorder="1" applyAlignment="1">
      <alignment horizontal="left" vertical="center"/>
      <protection/>
    </xf>
    <xf numFmtId="164" fontId="3" fillId="0" borderId="2" xfId="20" applyNumberFormat="1" applyFont="1" applyFill="1" applyBorder="1" applyAlignment="1">
      <alignment horizontal="center" vertical="center"/>
      <protection/>
    </xf>
    <xf numFmtId="3" fontId="9" fillId="0" borderId="2" xfId="20" applyNumberFormat="1" applyFont="1" applyFill="1" applyBorder="1" applyAlignment="1">
      <alignment vertical="center"/>
      <protection/>
    </xf>
    <xf numFmtId="165" fontId="3" fillId="0" borderId="2" xfId="15" applyNumberFormat="1" applyFont="1" applyFill="1" applyBorder="1" applyAlignment="1">
      <alignment vertical="center"/>
    </xf>
    <xf numFmtId="4" fontId="5" fillId="0" borderId="2" xfId="20" applyNumberFormat="1" applyFont="1" applyFill="1" applyBorder="1" applyAlignment="1">
      <alignment vertical="center"/>
      <protection/>
    </xf>
    <xf numFmtId="4" fontId="5" fillId="0" borderId="2" xfId="20" applyNumberFormat="1" applyFont="1" applyFill="1" applyBorder="1" applyAlignment="1">
      <alignment vertical="center"/>
      <protection/>
    </xf>
    <xf numFmtId="4" fontId="5" fillId="0" borderId="2" xfId="20" applyNumberFormat="1" applyFont="1" applyFill="1" applyBorder="1" applyAlignment="1">
      <alignment/>
      <protection/>
    </xf>
    <xf numFmtId="3" fontId="0" fillId="0" borderId="2" xfId="20" applyNumberFormat="1" applyFont="1" applyFill="1" applyBorder="1" applyAlignment="1">
      <alignment vertical="center"/>
      <protection/>
    </xf>
    <xf numFmtId="3" fontId="0" fillId="0" borderId="2" xfId="20" applyNumberFormat="1" applyFont="1" applyFill="1" applyBorder="1" applyAlignment="1">
      <alignment vertical="center"/>
      <protection/>
    </xf>
    <xf numFmtId="167" fontId="5" fillId="0" borderId="2" xfId="15" applyNumberFormat="1" applyFont="1" applyFill="1" applyBorder="1" applyAlignment="1">
      <alignment vertical="center"/>
    </xf>
    <xf numFmtId="167" fontId="5" fillId="0" borderId="2" xfId="15" applyNumberFormat="1" applyFont="1" applyFill="1" applyBorder="1" applyAlignment="1">
      <alignment vertical="center"/>
    </xf>
    <xf numFmtId="167" fontId="5" fillId="0" borderId="2" xfId="15" applyNumberFormat="1" applyFont="1" applyFill="1" applyBorder="1" applyAlignment="1">
      <alignment/>
    </xf>
    <xf numFmtId="3" fontId="5" fillId="0" borderId="2" xfId="20" applyNumberFormat="1" applyFont="1" applyFill="1" applyBorder="1" applyAlignment="1">
      <alignment vertical="center"/>
      <protection/>
    </xf>
    <xf numFmtId="3" fontId="5" fillId="0" borderId="2" xfId="20" applyNumberFormat="1" applyFont="1" applyFill="1" applyBorder="1" applyAlignment="1">
      <alignment vertical="center"/>
      <protection/>
    </xf>
    <xf numFmtId="3" fontId="5" fillId="0" borderId="2" xfId="20" applyNumberFormat="1" applyFont="1" applyFill="1" applyBorder="1" applyAlignment="1">
      <alignment/>
      <protection/>
    </xf>
    <xf numFmtId="164" fontId="6" fillId="0" borderId="2" xfId="20" applyNumberFormat="1" applyFont="1" applyFill="1" applyBorder="1" applyAlignment="1">
      <alignment horizontal="right" vertical="center"/>
      <protection/>
    </xf>
    <xf numFmtId="164" fontId="6" fillId="0" borderId="2" xfId="20" applyNumberFormat="1" applyFont="1" applyFill="1" applyBorder="1" applyAlignment="1">
      <alignment horizontal="right" vertical="center"/>
      <protection/>
    </xf>
    <xf numFmtId="165" fontId="0" fillId="0" borderId="2" xfId="15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0" fontId="3" fillId="0" borderId="2" xfId="20" applyFont="1" applyFill="1" applyBorder="1" applyAlignment="1">
      <alignment horizontal="center" vertical="center"/>
      <protection/>
    </xf>
    <xf numFmtId="3" fontId="9" fillId="0" borderId="2" xfId="20" applyNumberFormat="1" applyFont="1" applyFill="1" applyBorder="1" applyAlignment="1">
      <alignment vertical="center"/>
      <protection/>
    </xf>
    <xf numFmtId="165" fontId="5" fillId="0" borderId="2" xfId="15" applyNumberFormat="1" applyFont="1" applyFill="1" applyBorder="1" applyAlignment="1">
      <alignment horizontal="left" vertical="center"/>
    </xf>
    <xf numFmtId="165" fontId="3" fillId="0" borderId="2" xfId="15" applyNumberFormat="1" applyFont="1" applyFill="1" applyBorder="1" applyAlignment="1" applyProtection="1">
      <alignment vertical="center"/>
      <protection locked="0"/>
    </xf>
    <xf numFmtId="165" fontId="3" fillId="0" borderId="2" xfId="15" applyNumberFormat="1" applyFont="1" applyFill="1" applyBorder="1" applyAlignment="1" applyProtection="1">
      <alignment vertical="center"/>
      <protection locked="0"/>
    </xf>
    <xf numFmtId="0" fontId="5" fillId="0" borderId="2" xfId="20" applyFont="1" applyFill="1" applyBorder="1" applyAlignment="1">
      <alignment horizontal="center" vertical="center"/>
      <protection/>
    </xf>
    <xf numFmtId="4" fontId="5" fillId="0" borderId="2" xfId="20" applyNumberFormat="1" applyFont="1" applyFill="1" applyBorder="1" applyAlignment="1">
      <alignment horizontal="right" vertical="center"/>
      <protection/>
    </xf>
    <xf numFmtId="0" fontId="5" fillId="0" borderId="2" xfId="20" applyFont="1" applyFill="1" applyBorder="1">
      <alignment/>
      <protection/>
    </xf>
    <xf numFmtId="0" fontId="5" fillId="0" borderId="2" xfId="20" applyFont="1" applyFill="1" applyBorder="1" applyAlignment="1">
      <alignment horizontal="left" vertical="center"/>
      <protection/>
    </xf>
    <xf numFmtId="164" fontId="5" fillId="0" borderId="2" xfId="20" applyNumberFormat="1" applyFont="1" applyFill="1" applyBorder="1" applyAlignment="1">
      <alignment horizontal="right" vertical="center"/>
      <protection/>
    </xf>
    <xf numFmtId="165" fontId="5" fillId="0" borderId="2" xfId="15" applyNumberFormat="1" applyFont="1" applyFill="1" applyBorder="1" applyAlignment="1">
      <alignment horizontal="right" vertical="center"/>
    </xf>
    <xf numFmtId="165" fontId="5" fillId="0" borderId="2" xfId="17" applyNumberFormat="1" applyFont="1" applyFill="1" applyBorder="1" applyAlignment="1">
      <alignment horizontal="center" vertical="center"/>
    </xf>
    <xf numFmtId="165" fontId="5" fillId="0" borderId="2" xfId="17" applyNumberFormat="1" applyFont="1" applyFill="1" applyBorder="1" applyAlignment="1">
      <alignment horizontal="left" vertical="center"/>
    </xf>
    <xf numFmtId="3" fontId="5" fillId="0" borderId="2" xfId="20" applyNumberFormat="1" applyFont="1" applyFill="1" applyBorder="1" applyAlignment="1">
      <alignment horizontal="right" vertical="center"/>
      <protection/>
    </xf>
    <xf numFmtId="3" fontId="5" fillId="0" borderId="2" xfId="20" applyNumberFormat="1" applyFont="1" applyFill="1" applyBorder="1" applyAlignment="1">
      <alignment horizontal="right" vertical="center"/>
      <protection/>
    </xf>
    <xf numFmtId="1" fontId="5" fillId="0" borderId="2" xfId="20" applyNumberFormat="1" applyFont="1" applyFill="1" applyBorder="1" applyAlignment="1">
      <alignment vertical="center"/>
      <protection/>
    </xf>
    <xf numFmtId="1" fontId="5" fillId="0" borderId="2" xfId="20" applyNumberFormat="1" applyFont="1" applyFill="1" applyBorder="1" applyAlignment="1">
      <alignment vertical="center"/>
      <protection/>
    </xf>
    <xf numFmtId="4" fontId="5" fillId="0" borderId="2" xfId="17" applyNumberFormat="1" applyFont="1" applyFill="1" applyBorder="1" applyAlignment="1">
      <alignment vertical="center"/>
    </xf>
    <xf numFmtId="4" fontId="5" fillId="0" borderId="2" xfId="17" applyNumberFormat="1" applyFont="1" applyFill="1" applyBorder="1" applyAlignment="1">
      <alignment vertical="center"/>
    </xf>
    <xf numFmtId="4" fontId="5" fillId="0" borderId="2" xfId="17" applyNumberFormat="1" applyFont="1" applyFill="1" applyBorder="1" applyAlignment="1">
      <alignment/>
    </xf>
    <xf numFmtId="1" fontId="5" fillId="0" borderId="2" xfId="17" applyNumberFormat="1" applyFont="1" applyFill="1" applyBorder="1" applyAlignment="1">
      <alignment vertical="center"/>
    </xf>
    <xf numFmtId="3" fontId="5" fillId="0" borderId="2" xfId="20" applyNumberFormat="1" applyFont="1" applyFill="1" applyBorder="1" applyAlignment="1">
      <alignment horizontal="center" vertical="center"/>
      <protection/>
    </xf>
    <xf numFmtId="165" fontId="3" fillId="0" borderId="2" xfId="17" applyNumberFormat="1" applyFont="1" applyFill="1" applyBorder="1" applyAlignment="1">
      <alignment vertical="center"/>
    </xf>
    <xf numFmtId="165" fontId="3" fillId="0" borderId="2" xfId="17" applyNumberFormat="1" applyFont="1" applyFill="1" applyBorder="1" applyAlignment="1">
      <alignment vertical="center"/>
    </xf>
    <xf numFmtId="3" fontId="3" fillId="0" borderId="2" xfId="20" applyNumberFormat="1" applyFont="1" applyFill="1" applyBorder="1" applyAlignment="1">
      <alignment/>
      <protection/>
    </xf>
    <xf numFmtId="1" fontId="5" fillId="0" borderId="2" xfId="20" applyNumberFormat="1" applyFont="1" applyFill="1" applyBorder="1" applyAlignment="1">
      <alignment/>
      <protection/>
    </xf>
    <xf numFmtId="4" fontId="3" fillId="0" borderId="2" xfId="20" applyNumberFormat="1" applyFont="1" applyFill="1" applyBorder="1" applyAlignment="1">
      <alignment vertical="center"/>
      <protection/>
    </xf>
    <xf numFmtId="0" fontId="3" fillId="0" borderId="2" xfId="20" applyFont="1" applyFill="1" applyBorder="1" applyAlignment="1">
      <alignment vertical="center"/>
      <protection/>
    </xf>
    <xf numFmtId="4" fontId="3" fillId="0" borderId="2" xfId="20" applyNumberFormat="1" applyFont="1" applyFill="1" applyBorder="1" applyAlignment="1">
      <alignment vertical="center"/>
      <protection/>
    </xf>
    <xf numFmtId="0" fontId="3" fillId="0" borderId="2" xfId="20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>
      <alignment horizontal="left" vertical="center"/>
    </xf>
    <xf numFmtId="0" fontId="1" fillId="0" borderId="0" xfId="20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165" fontId="0" fillId="0" borderId="2" xfId="15" applyNumberFormat="1" applyFont="1" applyFill="1" applyBorder="1" applyAlignment="1">
      <alignment wrapText="1"/>
    </xf>
    <xf numFmtId="43" fontId="0" fillId="0" borderId="2" xfId="15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wrapText="1"/>
    </xf>
    <xf numFmtId="165" fontId="3" fillId="0" borderId="2" xfId="17" applyNumberFormat="1" applyFont="1" applyFill="1" applyBorder="1" applyAlignment="1">
      <alignment horizontal="left" vertical="center"/>
    </xf>
    <xf numFmtId="167" fontId="0" fillId="0" borderId="2" xfId="15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5" fontId="3" fillId="0" borderId="3" xfId="15" applyNumberFormat="1" applyFont="1" applyFill="1" applyBorder="1" applyAlignment="1">
      <alignment horizontal="center" vertical="center"/>
    </xf>
    <xf numFmtId="165" fontId="3" fillId="0" borderId="4" xfId="15" applyNumberFormat="1" applyFont="1" applyFill="1" applyBorder="1" applyAlignment="1">
      <alignment horizontal="left" vertical="center"/>
    </xf>
    <xf numFmtId="165" fontId="3" fillId="0" borderId="4" xfId="15" applyNumberFormat="1" applyFont="1" applyFill="1" applyBorder="1" applyAlignment="1">
      <alignment horizontal="center" vertical="center"/>
    </xf>
    <xf numFmtId="165" fontId="3" fillId="0" borderId="4" xfId="15" applyNumberFormat="1" applyFont="1" applyFill="1" applyBorder="1" applyAlignment="1">
      <alignment horizontal="right" vertical="center"/>
    </xf>
    <xf numFmtId="165" fontId="3" fillId="0" borderId="5" xfId="15" applyNumberFormat="1" applyFont="1" applyFill="1" applyBorder="1" applyAlignment="1">
      <alignment horizontal="right" vertical="center"/>
    </xf>
    <xf numFmtId="0" fontId="3" fillId="0" borderId="6" xfId="20" applyNumberFormat="1" applyFont="1" applyFill="1" applyBorder="1" applyAlignment="1">
      <alignment horizontal="center" vertical="center"/>
      <protection/>
    </xf>
    <xf numFmtId="165" fontId="3" fillId="0" borderId="7" xfId="17" applyNumberFormat="1" applyFont="1" applyFill="1" applyBorder="1" applyAlignment="1">
      <alignment horizontal="right" vertical="center"/>
    </xf>
    <xf numFmtId="165" fontId="3" fillId="0" borderId="6" xfId="15" applyNumberFormat="1" applyFont="1" applyFill="1" applyBorder="1" applyAlignment="1">
      <alignment horizontal="center" vertical="center"/>
    </xf>
    <xf numFmtId="165" fontId="3" fillId="0" borderId="7" xfId="15" applyNumberFormat="1" applyFont="1" applyFill="1" applyBorder="1" applyAlignment="1">
      <alignment horizontal="right" vertical="center"/>
    </xf>
    <xf numFmtId="0" fontId="4" fillId="0" borderId="6" xfId="20" applyNumberFormat="1" applyFont="1" applyFill="1" applyBorder="1" applyAlignment="1">
      <alignment horizontal="center" vertical="center"/>
      <protection/>
    </xf>
    <xf numFmtId="165" fontId="3" fillId="0" borderId="7" xfId="20" applyNumberFormat="1" applyFont="1" applyFill="1" applyBorder="1" applyAlignment="1">
      <alignment horizontal="right" vertical="center"/>
      <protection/>
    </xf>
    <xf numFmtId="165" fontId="3" fillId="0" borderId="7" xfId="15" applyNumberFormat="1" applyFont="1" applyFill="1" applyBorder="1" applyAlignment="1">
      <alignment vertical="center"/>
    </xf>
    <xf numFmtId="3" fontId="7" fillId="0" borderId="7" xfId="20" applyNumberFormat="1" applyFont="1" applyFill="1" applyBorder="1" applyAlignment="1">
      <alignment vertical="center"/>
      <protection/>
    </xf>
    <xf numFmtId="0" fontId="6" fillId="0" borderId="6" xfId="20" applyNumberFormat="1" applyFont="1" applyFill="1" applyBorder="1" applyAlignment="1">
      <alignment horizontal="center" vertical="center"/>
      <protection/>
    </xf>
    <xf numFmtId="165" fontId="0" fillId="0" borderId="7" xfId="20" applyNumberFormat="1" applyFont="1" applyFill="1" applyBorder="1" applyAlignment="1">
      <alignment vertical="center"/>
      <protection/>
    </xf>
    <xf numFmtId="165" fontId="5" fillId="0" borderId="6" xfId="15" applyNumberFormat="1" applyFont="1" applyFill="1" applyBorder="1" applyAlignment="1">
      <alignment horizontal="center" vertical="center"/>
    </xf>
    <xf numFmtId="165" fontId="5" fillId="0" borderId="7" xfId="15" applyNumberFormat="1" applyFont="1" applyFill="1" applyBorder="1" applyAlignment="1">
      <alignment vertical="center"/>
    </xf>
    <xf numFmtId="0" fontId="5" fillId="0" borderId="6" xfId="20" applyNumberFormat="1" applyFont="1" applyFill="1" applyBorder="1" applyAlignment="1">
      <alignment horizontal="center" vertical="center"/>
      <protection/>
    </xf>
    <xf numFmtId="4" fontId="0" fillId="0" borderId="7" xfId="0" applyNumberFormat="1" applyFont="1" applyFill="1" applyBorder="1" applyAlignment="1">
      <alignment horizontal="right" vertical="top" wrapText="1"/>
    </xf>
    <xf numFmtId="165" fontId="6" fillId="0" borderId="7" xfId="20" applyNumberFormat="1" applyFont="1" applyFill="1" applyBorder="1" applyAlignment="1">
      <alignment horizontal="right" vertical="center"/>
      <protection/>
    </xf>
    <xf numFmtId="165" fontId="5" fillId="0" borderId="7" xfId="17" applyNumberFormat="1" applyFont="1" applyFill="1" applyBorder="1" applyAlignment="1">
      <alignment vertical="center"/>
    </xf>
    <xf numFmtId="165" fontId="6" fillId="0" borderId="7" xfId="20" applyNumberFormat="1" applyFont="1" applyFill="1" applyBorder="1" applyAlignment="1">
      <alignment vertical="center"/>
      <protection/>
    </xf>
    <xf numFmtId="165" fontId="7" fillId="0" borderId="7" xfId="20" applyNumberFormat="1" applyFont="1" applyFill="1" applyBorder="1" applyAlignment="1">
      <alignment vertical="center"/>
      <protection/>
    </xf>
    <xf numFmtId="165" fontId="5" fillId="0" borderId="7" xfId="15" applyNumberFormat="1" applyFont="1" applyFill="1" applyBorder="1" applyAlignment="1">
      <alignment vertical="center"/>
    </xf>
    <xf numFmtId="165" fontId="5" fillId="0" borderId="7" xfId="17" applyNumberFormat="1" applyFont="1" applyFill="1" applyBorder="1" applyAlignment="1">
      <alignment vertical="center"/>
    </xf>
    <xf numFmtId="165" fontId="6" fillId="0" borderId="7" xfId="20" applyNumberFormat="1" applyFont="1" applyFill="1" applyBorder="1" applyAlignment="1">
      <alignment horizontal="right" vertical="center"/>
      <protection/>
    </xf>
    <xf numFmtId="165" fontId="5" fillId="0" borderId="7" xfId="17" applyNumberFormat="1" applyFont="1" applyFill="1" applyBorder="1" applyAlignment="1">
      <alignment horizontal="right" vertical="center"/>
    </xf>
    <xf numFmtId="165" fontId="9" fillId="0" borderId="7" xfId="20" applyNumberFormat="1" applyFont="1" applyFill="1" applyBorder="1" applyAlignment="1">
      <alignment vertical="center"/>
      <protection/>
    </xf>
    <xf numFmtId="164" fontId="6" fillId="0" borderId="6" xfId="20" applyNumberFormat="1" applyFont="1" applyFill="1" applyBorder="1" applyAlignment="1">
      <alignment horizontal="center" vertical="center"/>
      <protection/>
    </xf>
    <xf numFmtId="165" fontId="0" fillId="0" borderId="7" xfId="20" applyNumberFormat="1" applyFont="1" applyFill="1" applyBorder="1" applyAlignment="1">
      <alignment vertical="center"/>
      <protection/>
    </xf>
    <xf numFmtId="167" fontId="5" fillId="0" borderId="7" xfId="15" applyNumberFormat="1" applyFont="1" applyFill="1" applyBorder="1" applyAlignment="1">
      <alignment vertical="center"/>
    </xf>
    <xf numFmtId="165" fontId="5" fillId="0" borderId="7" xfId="20" applyNumberFormat="1" applyFont="1" applyFill="1" applyBorder="1" applyAlignment="1">
      <alignment vertical="center"/>
      <protection/>
    </xf>
    <xf numFmtId="165" fontId="0" fillId="0" borderId="7" xfId="15" applyNumberFormat="1" applyFont="1" applyFill="1" applyBorder="1" applyAlignment="1">
      <alignment horizontal="right" vertical="top" wrapText="1"/>
    </xf>
    <xf numFmtId="165" fontId="3" fillId="0" borderId="7" xfId="15" applyNumberFormat="1" applyFont="1" applyFill="1" applyBorder="1" applyAlignment="1" applyProtection="1">
      <alignment vertical="center"/>
      <protection locked="0"/>
    </xf>
    <xf numFmtId="165" fontId="3" fillId="0" borderId="7" xfId="15" applyNumberFormat="1" applyFont="1" applyFill="1" applyBorder="1" applyAlignment="1">
      <alignment vertical="center"/>
    </xf>
    <xf numFmtId="165" fontId="0" fillId="0" borderId="7" xfId="15" applyNumberFormat="1" applyFont="1" applyFill="1" applyBorder="1" applyAlignment="1">
      <alignment wrapText="1"/>
    </xf>
    <xf numFmtId="165" fontId="5" fillId="0" borderId="7" xfId="17" applyNumberFormat="1" applyFont="1" applyFill="1" applyBorder="1" applyAlignment="1">
      <alignment horizontal="right" vertical="center"/>
    </xf>
    <xf numFmtId="0" fontId="5" fillId="0" borderId="6" xfId="20" applyNumberFormat="1" applyFont="1" applyFill="1" applyBorder="1" applyAlignment="1">
      <alignment horizontal="center" vertical="center" wrapText="1"/>
      <protection/>
    </xf>
    <xf numFmtId="4" fontId="0" fillId="0" borderId="7" xfId="0" applyNumberFormat="1" applyFont="1" applyFill="1" applyBorder="1" applyAlignment="1">
      <alignment wrapText="1"/>
    </xf>
    <xf numFmtId="0" fontId="3" fillId="0" borderId="6" xfId="20" applyNumberFormat="1" applyFont="1" applyFill="1" applyBorder="1" applyAlignment="1">
      <alignment horizontal="center" vertical="center" wrapText="1"/>
      <protection/>
    </xf>
    <xf numFmtId="165" fontId="3" fillId="0" borderId="6" xfId="15" applyNumberFormat="1" applyFont="1" applyFill="1" applyBorder="1" applyAlignment="1">
      <alignment horizontal="center" vertical="center" wrapText="1"/>
    </xf>
    <xf numFmtId="165" fontId="5" fillId="0" borderId="6" xfId="15" applyNumberFormat="1" applyFont="1" applyFill="1" applyBorder="1" applyAlignment="1">
      <alignment horizontal="center" vertical="center" wrapText="1"/>
    </xf>
    <xf numFmtId="165" fontId="5" fillId="0" borderId="7" xfId="20" applyNumberFormat="1" applyFont="1" applyFill="1" applyBorder="1" applyAlignment="1">
      <alignment horizontal="right" vertical="center"/>
      <protection/>
    </xf>
    <xf numFmtId="167" fontId="0" fillId="0" borderId="7" xfId="15" applyNumberFormat="1" applyFont="1" applyFill="1" applyBorder="1" applyAlignment="1">
      <alignment wrapText="1"/>
    </xf>
    <xf numFmtId="165" fontId="5" fillId="0" borderId="7" xfId="17" applyNumberFormat="1" applyFont="1" applyFill="1" applyBorder="1" applyAlignment="1">
      <alignment/>
    </xf>
    <xf numFmtId="1" fontId="5" fillId="0" borderId="7" xfId="20" applyNumberFormat="1" applyFont="1" applyFill="1" applyBorder="1" applyAlignment="1">
      <alignment vertical="center"/>
      <protection/>
    </xf>
    <xf numFmtId="165" fontId="3" fillId="0" borderId="7" xfId="17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/>
    </xf>
    <xf numFmtId="165" fontId="5" fillId="0" borderId="9" xfId="17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3" fillId="0" borderId="11" xfId="17" applyNumberFormat="1" applyFont="1" applyFill="1" applyBorder="1" applyAlignment="1">
      <alignment horizontal="center" vertical="center" wrapText="1"/>
    </xf>
    <xf numFmtId="0" fontId="5" fillId="0" borderId="12" xfId="20" applyNumberFormat="1" applyFont="1" applyFill="1" applyBorder="1" applyAlignment="1">
      <alignment horizontal="center" vertical="center"/>
      <protection/>
    </xf>
    <xf numFmtId="0" fontId="5" fillId="0" borderId="1" xfId="20" applyNumberFormat="1" applyFont="1" applyFill="1" applyBorder="1" applyAlignment="1">
      <alignment horizontal="center" vertical="center"/>
      <protection/>
    </xf>
    <xf numFmtId="0" fontId="5" fillId="0" borderId="11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7" fontId="15" fillId="0" borderId="4" xfId="15" applyNumberFormat="1" applyFont="1" applyFill="1" applyBorder="1" applyAlignment="1">
      <alignment horizontal="center" vertical="center" wrapText="1"/>
    </xf>
    <xf numFmtId="165" fontId="15" fillId="0" borderId="4" xfId="15" applyNumberFormat="1" applyFont="1" applyFill="1" applyBorder="1" applyAlignment="1">
      <alignment horizontal="center" vertical="center" wrapText="1"/>
    </xf>
    <xf numFmtId="165" fontId="15" fillId="0" borderId="5" xfId="15" applyNumberFormat="1" applyFont="1" applyFill="1" applyBorder="1" applyAlignment="1">
      <alignment horizontal="center" vertical="center" wrapText="1"/>
    </xf>
    <xf numFmtId="165" fontId="16" fillId="0" borderId="2" xfId="15" applyNumberFormat="1" applyFont="1" applyFill="1" applyBorder="1" applyAlignment="1">
      <alignment horizontal="center" vertical="center"/>
    </xf>
    <xf numFmtId="165" fontId="16" fillId="0" borderId="7" xfId="15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65" fontId="15" fillId="0" borderId="3" xfId="15" applyNumberFormat="1" applyFont="1" applyFill="1" applyBorder="1" applyAlignment="1">
      <alignment horizontal="center" vertical="center"/>
    </xf>
    <xf numFmtId="165" fontId="15" fillId="0" borderId="4" xfId="15" applyNumberFormat="1" applyFont="1" applyFill="1" applyBorder="1" applyAlignment="1">
      <alignment horizontal="left" vertical="center" wrapText="1"/>
    </xf>
    <xf numFmtId="165" fontId="15" fillId="0" borderId="4" xfId="15" applyNumberFormat="1" applyFont="1" applyFill="1" applyBorder="1" applyAlignment="1">
      <alignment horizontal="right" vertical="center" wrapText="1"/>
    </xf>
    <xf numFmtId="165" fontId="15" fillId="0" borderId="6" xfId="15" applyNumberFormat="1" applyFont="1" applyFill="1" applyBorder="1" applyAlignment="1">
      <alignment horizontal="center" vertical="center"/>
    </xf>
    <xf numFmtId="165" fontId="16" fillId="0" borderId="2" xfId="15" applyNumberFormat="1" applyFont="1" applyFill="1" applyBorder="1" applyAlignment="1">
      <alignment vertical="center" wrapText="1"/>
    </xf>
    <xf numFmtId="165" fontId="16" fillId="0" borderId="2" xfId="15" applyNumberFormat="1" applyFont="1" applyFill="1" applyBorder="1" applyAlignment="1">
      <alignment horizontal="right" vertical="center"/>
    </xf>
    <xf numFmtId="43" fontId="16" fillId="0" borderId="2" xfId="15" applyNumberFormat="1" applyFont="1" applyFill="1" applyBorder="1" applyAlignment="1">
      <alignment horizontal="center" vertical="center" wrapText="1"/>
    </xf>
    <xf numFmtId="165" fontId="16" fillId="0" borderId="2" xfId="15" applyNumberFormat="1" applyFont="1" applyFill="1" applyBorder="1" applyAlignment="1">
      <alignment horizontal="center" vertical="center" wrapText="1"/>
    </xf>
    <xf numFmtId="165" fontId="16" fillId="0" borderId="7" xfId="15" applyNumberFormat="1" applyFont="1" applyFill="1" applyBorder="1" applyAlignment="1">
      <alignment horizontal="center" vertical="center"/>
    </xf>
    <xf numFmtId="165" fontId="16" fillId="0" borderId="2" xfId="15" applyNumberFormat="1" applyFont="1" applyFill="1" applyBorder="1" applyAlignment="1">
      <alignment vertical="center"/>
    </xf>
    <xf numFmtId="43" fontId="16" fillId="0" borderId="2" xfId="15" applyNumberFormat="1" applyFont="1" applyFill="1" applyBorder="1" applyAlignment="1">
      <alignment horizontal="center" vertical="center"/>
    </xf>
    <xf numFmtId="165" fontId="15" fillId="0" borderId="2" xfId="15" applyNumberFormat="1" applyFont="1" applyFill="1" applyBorder="1" applyAlignment="1">
      <alignment vertical="center" wrapText="1"/>
    </xf>
    <xf numFmtId="165" fontId="15" fillId="0" borderId="2" xfId="15" applyNumberFormat="1" applyFont="1" applyFill="1" applyBorder="1" applyAlignment="1">
      <alignment horizontal="right" vertical="center"/>
    </xf>
    <xf numFmtId="165" fontId="15" fillId="0" borderId="2" xfId="15" applyNumberFormat="1" applyFont="1" applyFill="1" applyBorder="1" applyAlignment="1">
      <alignment horizontal="center" vertical="center"/>
    </xf>
    <xf numFmtId="165" fontId="15" fillId="0" borderId="2" xfId="15" applyNumberFormat="1" applyFont="1" applyFill="1" applyBorder="1" applyAlignment="1">
      <alignment horizontal="center" vertical="center" wrapText="1"/>
    </xf>
    <xf numFmtId="43" fontId="15" fillId="0" borderId="7" xfId="15" applyNumberFormat="1" applyFont="1" applyFill="1" applyBorder="1" applyAlignment="1">
      <alignment horizontal="center" vertical="center" wrapText="1"/>
    </xf>
    <xf numFmtId="165" fontId="16" fillId="0" borderId="6" xfId="15" applyNumberFormat="1" applyFont="1" applyFill="1" applyBorder="1" applyAlignment="1">
      <alignment horizontal="center" vertical="center"/>
    </xf>
    <xf numFmtId="165" fontId="15" fillId="0" borderId="7" xfId="15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70" fontId="1" fillId="0" borderId="4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16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170" fontId="1" fillId="0" borderId="2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top" wrapText="1"/>
    </xf>
    <xf numFmtId="2" fontId="8" fillId="0" borderId="2" xfId="0" applyNumberFormat="1" applyFont="1" applyFill="1" applyBorder="1" applyAlignment="1">
      <alignment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165" fontId="8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3" fontId="22" fillId="0" borderId="4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165" fontId="8" fillId="0" borderId="2" xfId="15" applyNumberFormat="1" applyFont="1" applyFill="1" applyBorder="1" applyAlignment="1">
      <alignment horizontal="right" vertical="center" wrapText="1"/>
    </xf>
    <xf numFmtId="165" fontId="8" fillId="0" borderId="7" xfId="15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6" fillId="0" borderId="2" xfId="0" applyFont="1" applyFill="1" applyBorder="1" applyAlignment="1">
      <alignment/>
    </xf>
    <xf numFmtId="0" fontId="16" fillId="0" borderId="2" xfId="0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wrapText="1"/>
    </xf>
    <xf numFmtId="3" fontId="16" fillId="0" borderId="20" xfId="0" applyNumberFormat="1" applyFont="1" applyFill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171" fontId="8" fillId="0" borderId="2" xfId="15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24" fillId="0" borderId="22" xfId="15" applyNumberFormat="1" applyBorder="1" applyAlignment="1">
      <alignment/>
    </xf>
    <xf numFmtId="0" fontId="0" fillId="0" borderId="23" xfId="0" applyBorder="1" applyAlignment="1">
      <alignment/>
    </xf>
    <xf numFmtId="164" fontId="1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 quotePrefix="1">
      <alignment vertical="center" wrapText="1"/>
    </xf>
    <xf numFmtId="0" fontId="8" fillId="0" borderId="0" xfId="22" applyFont="1" applyFill="1" applyAlignment="1">
      <alignment vertical="center" wrapText="1"/>
      <protection/>
    </xf>
    <xf numFmtId="0" fontId="8" fillId="0" borderId="0" xfId="22" applyFont="1" applyFill="1" applyAlignment="1">
      <alignment horizontal="center" vertical="center" wrapText="1"/>
      <protection/>
    </xf>
    <xf numFmtId="0" fontId="1" fillId="0" borderId="24" xfId="22" applyFont="1" applyFill="1" applyBorder="1" applyAlignment="1">
      <alignment horizontal="center" vertical="center" wrapText="1"/>
      <protection/>
    </xf>
    <xf numFmtId="0" fontId="1" fillId="0" borderId="25" xfId="22" applyFont="1" applyFill="1" applyBorder="1" applyAlignment="1">
      <alignment horizontal="center" vertical="center" wrapText="1"/>
      <protection/>
    </xf>
    <xf numFmtId="0" fontId="1" fillId="0" borderId="17" xfId="22" applyFont="1" applyFill="1" applyBorder="1" applyAlignment="1">
      <alignment horizontal="center" vertical="center" wrapText="1"/>
      <protection/>
    </xf>
    <xf numFmtId="0" fontId="22" fillId="0" borderId="6" xfId="22" applyFont="1" applyFill="1" applyBorder="1" applyAlignment="1">
      <alignment horizontal="center" vertical="center" wrapText="1"/>
      <protection/>
    </xf>
    <xf numFmtId="0" fontId="22" fillId="0" borderId="2" xfId="22" applyFont="1" applyFill="1" applyBorder="1" applyAlignment="1">
      <alignment vertical="center" wrapText="1"/>
      <protection/>
    </xf>
    <xf numFmtId="0" fontId="22" fillId="0" borderId="4" xfId="22" applyFont="1" applyFill="1" applyBorder="1" applyAlignment="1">
      <alignment horizontal="center" vertical="center" wrapText="1"/>
      <protection/>
    </xf>
    <xf numFmtId="0" fontId="22" fillId="0" borderId="5" xfId="22" applyFont="1" applyFill="1" applyBorder="1" applyAlignment="1">
      <alignment vertical="center" wrapText="1"/>
      <protection/>
    </xf>
    <xf numFmtId="0" fontId="22" fillId="0" borderId="2" xfId="22" applyFont="1" applyFill="1" applyBorder="1" applyAlignment="1">
      <alignment horizontal="center" vertical="center" wrapText="1"/>
      <protection/>
    </xf>
    <xf numFmtId="0" fontId="22" fillId="0" borderId="7" xfId="22" applyFont="1" applyFill="1" applyBorder="1" applyAlignment="1">
      <alignment horizontal="center" vertical="center" wrapText="1"/>
      <protection/>
    </xf>
    <xf numFmtId="0" fontId="22" fillId="0" borderId="7" xfId="22" applyFont="1" applyFill="1" applyBorder="1" applyAlignment="1">
      <alignment vertical="center" wrapText="1"/>
      <protection/>
    </xf>
    <xf numFmtId="0" fontId="21" fillId="0" borderId="2" xfId="22" applyFont="1" applyFill="1" applyBorder="1" applyAlignment="1">
      <alignment vertical="center" wrapText="1"/>
      <protection/>
    </xf>
    <xf numFmtId="0" fontId="21" fillId="0" borderId="2" xfId="22" applyFont="1" applyFill="1" applyBorder="1" applyAlignment="1">
      <alignment horizontal="center" vertical="center" wrapText="1"/>
      <protection/>
    </xf>
    <xf numFmtId="4" fontId="21" fillId="0" borderId="2" xfId="22" applyNumberFormat="1" applyFont="1" applyFill="1" applyBorder="1" applyAlignment="1">
      <alignment horizontal="right" vertical="center" wrapText="1"/>
      <protection/>
    </xf>
    <xf numFmtId="0" fontId="21" fillId="0" borderId="7" xfId="22" applyFont="1" applyFill="1" applyBorder="1" applyAlignment="1">
      <alignment vertical="center" wrapText="1"/>
      <protection/>
    </xf>
    <xf numFmtId="165" fontId="22" fillId="0" borderId="2" xfId="15" applyNumberFormat="1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 wrapText="1"/>
    </xf>
    <xf numFmtId="0" fontId="8" fillId="0" borderId="8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165" fontId="8" fillId="0" borderId="4" xfId="15" applyNumberFormat="1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 wrapText="1"/>
    </xf>
    <xf numFmtId="165" fontId="12" fillId="0" borderId="2" xfId="15" applyNumberFormat="1" applyFont="1" applyFill="1" applyBorder="1" applyAlignment="1">
      <alignment horizontal="right" vertical="center" wrapText="1"/>
    </xf>
    <xf numFmtId="165" fontId="12" fillId="0" borderId="7" xfId="15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left" vertical="center" wrapText="1"/>
    </xf>
    <xf numFmtId="1" fontId="8" fillId="0" borderId="2" xfId="15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166" fontId="8" fillId="0" borderId="2" xfId="15" applyNumberFormat="1" applyFont="1" applyFill="1" applyBorder="1" applyAlignment="1">
      <alignment horizontal="right" vertical="center" wrapText="1"/>
    </xf>
    <xf numFmtId="166" fontId="8" fillId="0" borderId="7" xfId="15" applyNumberFormat="1" applyFont="1" applyFill="1" applyBorder="1" applyAlignment="1">
      <alignment horizontal="right" vertical="center" wrapText="1"/>
    </xf>
    <xf numFmtId="165" fontId="8" fillId="0" borderId="20" xfId="15" applyNumberFormat="1" applyFont="1" applyFill="1" applyBorder="1" applyAlignment="1">
      <alignment horizontal="right" vertical="center" wrapText="1"/>
    </xf>
    <xf numFmtId="165" fontId="8" fillId="0" borderId="26" xfId="15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16" fillId="0" borderId="9" xfId="15" applyNumberFormat="1" applyFont="1" applyFill="1" applyBorder="1" applyAlignment="1">
      <alignment horizontal="right" vertical="center" wrapText="1"/>
    </xf>
    <xf numFmtId="165" fontId="16" fillId="0" borderId="27" xfId="15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165" fontId="8" fillId="0" borderId="4" xfId="15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165" fontId="8" fillId="0" borderId="2" xfId="15" applyNumberFormat="1" applyFont="1" applyFill="1" applyBorder="1" applyAlignment="1">
      <alignment horizontal="center" vertical="center" wrapText="1"/>
    </xf>
    <xf numFmtId="165" fontId="8" fillId="0" borderId="7" xfId="15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171" fontId="8" fillId="0" borderId="7" xfId="15" applyNumberFormat="1" applyFont="1" applyFill="1" applyBorder="1" applyAlignment="1">
      <alignment horizontal="center" vertical="center" wrapText="1"/>
    </xf>
    <xf numFmtId="3" fontId="8" fillId="0" borderId="2" xfId="15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left" vertical="center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7" xfId="0" applyNumberFormat="1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/>
    </xf>
    <xf numFmtId="0" fontId="22" fillId="0" borderId="9" xfId="0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3" fontId="15" fillId="0" borderId="9" xfId="0" applyNumberFormat="1" applyFont="1" applyFill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3" fontId="15" fillId="0" borderId="7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166" fontId="15" fillId="0" borderId="20" xfId="0" applyNumberFormat="1" applyFont="1" applyFill="1" applyBorder="1" applyAlignment="1">
      <alignment horizontal="center" vertical="center" wrapText="1"/>
    </xf>
    <xf numFmtId="166" fontId="15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2" xfId="15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6" fontId="8" fillId="0" borderId="2" xfId="15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15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4" fontId="8" fillId="0" borderId="2" xfId="15" applyNumberFormat="1" applyFont="1" applyFill="1" applyBorder="1" applyAlignment="1">
      <alignment horizontal="center" vertical="center" wrapText="1"/>
    </xf>
    <xf numFmtId="164" fontId="8" fillId="0" borderId="2" xfId="15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quotePrefix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4" xfId="15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3" fontId="1" fillId="0" borderId="2" xfId="15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43" fontId="8" fillId="0" borderId="2" xfId="15" applyNumberFormat="1" applyFont="1" applyFill="1" applyBorder="1" applyAlignment="1">
      <alignment horizontal="right" vertical="center" wrapText="1"/>
    </xf>
    <xf numFmtId="167" fontId="8" fillId="0" borderId="2" xfId="15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65" fontId="1" fillId="0" borderId="2" xfId="15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/>
    </xf>
    <xf numFmtId="0" fontId="29" fillId="0" borderId="9" xfId="0" applyFont="1" applyFill="1" applyBorder="1" applyAlignment="1">
      <alignment/>
    </xf>
    <xf numFmtId="0" fontId="29" fillId="0" borderId="9" xfId="0" applyFont="1" applyFill="1" applyBorder="1" applyAlignment="1">
      <alignment/>
    </xf>
    <xf numFmtId="165" fontId="8" fillId="0" borderId="9" xfId="15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/>
    </xf>
    <xf numFmtId="0" fontId="8" fillId="0" borderId="12" xfId="22" applyFont="1" applyFill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horizontal="center" vertical="center" wrapText="1"/>
      <protection/>
    </xf>
    <xf numFmtId="0" fontId="8" fillId="0" borderId="11" xfId="22" applyFont="1" applyFill="1" applyBorder="1" applyAlignment="1">
      <alignment horizontal="center" vertical="center" wrapText="1"/>
      <protection/>
    </xf>
    <xf numFmtId="165" fontId="22" fillId="0" borderId="4" xfId="0" applyNumberFormat="1" applyFont="1" applyFill="1" applyBorder="1" applyAlignment="1">
      <alignment vertical="center" wrapText="1"/>
    </xf>
    <xf numFmtId="165" fontId="22" fillId="0" borderId="2" xfId="0" applyNumberFormat="1" applyFont="1" applyFill="1" applyBorder="1" applyAlignment="1">
      <alignment vertical="center" wrapText="1"/>
    </xf>
    <xf numFmtId="43" fontId="22" fillId="0" borderId="2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5" fontId="21" fillId="0" borderId="4" xfId="15" applyNumberFormat="1" applyFont="1" applyFill="1" applyBorder="1" applyAlignment="1">
      <alignment horizontal="right" vertical="center" wrapText="1"/>
    </xf>
    <xf numFmtId="165" fontId="21" fillId="0" borderId="5" xfId="15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3" fillId="0" borderId="25" xfId="20" applyNumberFormat="1" applyFont="1" applyFill="1" applyBorder="1" applyAlignment="1">
      <alignment horizontal="center" vertical="center" wrapText="1"/>
      <protection/>
    </xf>
    <xf numFmtId="164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25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/>
      <protection/>
    </xf>
    <xf numFmtId="0" fontId="3" fillId="0" borderId="24" xfId="20" applyNumberFormat="1" applyFont="1" applyFill="1" applyBorder="1" applyAlignment="1">
      <alignment horizontal="center" vertical="center"/>
      <protection/>
    </xf>
    <xf numFmtId="0" fontId="3" fillId="0" borderId="12" xfId="20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13" fillId="0" borderId="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4" xfId="15" applyNumberFormat="1" applyFont="1" applyFill="1" applyBorder="1" applyAlignment="1">
      <alignment horizontal="center" vertical="center" wrapText="1"/>
    </xf>
    <xf numFmtId="165" fontId="15" fillId="0" borderId="19" xfId="15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10" fillId="0" borderId="0" xfId="21" applyFont="1" applyFill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0" fillId="0" borderId="0" xfId="22" applyFont="1" applyFill="1" applyAlignment="1">
      <alignment horizontal="center" vertical="center" wrapText="1"/>
      <protection/>
    </xf>
    <xf numFmtId="0" fontId="13" fillId="0" borderId="0" xfId="22" applyFont="1" applyFill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omma 3" xfId="17"/>
    <cellStyle name="Currency" xfId="18"/>
    <cellStyle name="Currency [0]" xfId="19"/>
    <cellStyle name="Normal 3" xfId="20"/>
    <cellStyle name="Normal_DT98" xfId="21"/>
    <cellStyle name="Normal_Mot so chi tieu chu yeu 201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2105025</xdr:colOff>
      <xdr:row>2</xdr:row>
      <xdr:rowOff>9525</xdr:rowOff>
    </xdr:from>
    <xdr:to>
      <xdr:col>2</xdr:col>
      <xdr:colOff>533400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638425" y="4857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47625</xdr:rowOff>
    </xdr:from>
    <xdr:to>
      <xdr:col>2</xdr:col>
      <xdr:colOff>676275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1743075" y="52387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</xdr:row>
      <xdr:rowOff>9525</xdr:rowOff>
    </xdr:from>
    <xdr:to>
      <xdr:col>2</xdr:col>
      <xdr:colOff>209550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885950" y="4857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19050</xdr:rowOff>
    </xdr:from>
    <xdr:to>
      <xdr:col>7</xdr:col>
      <xdr:colOff>228600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3924300" y="7334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2</xdr:row>
      <xdr:rowOff>19050</xdr:rowOff>
    </xdr:from>
    <xdr:to>
      <xdr:col>2</xdr:col>
      <xdr:colOff>523875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352675" y="49530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2</xdr:row>
      <xdr:rowOff>0</xdr:rowOff>
    </xdr:from>
    <xdr:to>
      <xdr:col>2</xdr:col>
      <xdr:colOff>28575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400300" y="4762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3</xdr:row>
      <xdr:rowOff>47625</xdr:rowOff>
    </xdr:from>
    <xdr:to>
      <xdr:col>3</xdr:col>
      <xdr:colOff>466725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2419350" y="7620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4</xdr:row>
      <xdr:rowOff>0</xdr:rowOff>
    </xdr:from>
    <xdr:to>
      <xdr:col>11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609975" y="5715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</xdr:row>
      <xdr:rowOff>9525</xdr:rowOff>
    </xdr:from>
    <xdr:to>
      <xdr:col>7</xdr:col>
      <xdr:colOff>466725</xdr:colOff>
      <xdr:row>2</xdr:row>
      <xdr:rowOff>9525</xdr:rowOff>
    </xdr:to>
    <xdr:sp>
      <xdr:nvSpPr>
        <xdr:cNvPr id="1" name="Line 10"/>
        <xdr:cNvSpPr>
          <a:spLocks/>
        </xdr:cNvSpPr>
      </xdr:nvSpPr>
      <xdr:spPr>
        <a:xfrm>
          <a:off x="3676650" y="485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1447800</xdr:colOff>
      <xdr:row>2</xdr:row>
      <xdr:rowOff>0</xdr:rowOff>
    </xdr:from>
    <xdr:to>
      <xdr:col>3</xdr:col>
      <xdr:colOff>619125</xdr:colOff>
      <xdr:row>2</xdr:row>
      <xdr:rowOff>0</xdr:rowOff>
    </xdr:to>
    <xdr:sp>
      <xdr:nvSpPr>
        <xdr:cNvPr id="1" name="Line 11"/>
        <xdr:cNvSpPr>
          <a:spLocks/>
        </xdr:cNvSpPr>
      </xdr:nvSpPr>
      <xdr:spPr>
        <a:xfrm>
          <a:off x="2162175" y="4762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2</xdr:row>
      <xdr:rowOff>0</xdr:rowOff>
    </xdr:from>
    <xdr:to>
      <xdr:col>3</xdr:col>
      <xdr:colOff>895350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4762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3</xdr:row>
      <xdr:rowOff>19050</xdr:rowOff>
    </xdr:from>
    <xdr:to>
      <xdr:col>2</xdr:col>
      <xdr:colOff>66675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390775" y="9144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</xdr:row>
      <xdr:rowOff>228600</xdr:rowOff>
    </xdr:from>
    <xdr:to>
      <xdr:col>9</xdr:col>
      <xdr:colOff>95250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924300" y="466725"/>
          <a:ext cx="2133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9525</xdr:rowOff>
    </xdr:from>
    <xdr:to>
      <xdr:col>8</xdr:col>
      <xdr:colOff>257175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3457575" y="4857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2</xdr:row>
      <xdr:rowOff>9525</xdr:rowOff>
    </xdr:from>
    <xdr:to>
      <xdr:col>2</xdr:col>
      <xdr:colOff>857250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438400" y="48577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F1"/>
    </sheetView>
  </sheetViews>
  <sheetFormatPr defaultColWidth="9.33203125" defaultRowHeight="12.75"/>
  <cols>
    <col min="2" max="2" width="44.83203125" style="0" customWidth="1"/>
    <col min="4" max="4" width="12.83203125" style="0" customWidth="1"/>
    <col min="5" max="5" width="15.83203125" style="0" customWidth="1"/>
    <col min="6" max="6" width="15.16015625" style="0" customWidth="1"/>
  </cols>
  <sheetData>
    <row r="1" spans="1:6" ht="18.75">
      <c r="A1" s="494" t="s">
        <v>460</v>
      </c>
      <c r="B1" s="494"/>
      <c r="C1" s="494"/>
      <c r="D1" s="494"/>
      <c r="E1" s="494"/>
      <c r="F1" s="494"/>
    </row>
    <row r="2" spans="1:6" ht="18.75" customHeight="1">
      <c r="A2" s="495" t="s">
        <v>107</v>
      </c>
      <c r="B2" s="495"/>
      <c r="C2" s="495"/>
      <c r="D2" s="495"/>
      <c r="E2" s="495"/>
      <c r="F2" s="495"/>
    </row>
    <row r="3" spans="1:6" ht="16.5" thickBot="1">
      <c r="A3" s="432"/>
      <c r="B3" s="433"/>
      <c r="C3" s="432"/>
      <c r="D3" s="100"/>
      <c r="E3" s="432"/>
      <c r="F3" s="433"/>
    </row>
    <row r="4" spans="1:6" ht="15.75">
      <c r="A4" s="434" t="s">
        <v>433</v>
      </c>
      <c r="B4" s="435" t="s">
        <v>167</v>
      </c>
      <c r="C4" s="435" t="s">
        <v>2</v>
      </c>
      <c r="D4" s="435" t="s">
        <v>461</v>
      </c>
      <c r="E4" s="435" t="s">
        <v>5</v>
      </c>
      <c r="F4" s="203" t="s">
        <v>149</v>
      </c>
    </row>
    <row r="5" spans="1:6" ht="15.75">
      <c r="A5" s="204">
        <v>1</v>
      </c>
      <c r="B5" s="205">
        <v>2</v>
      </c>
      <c r="C5" s="205">
        <v>3</v>
      </c>
      <c r="D5" s="205">
        <v>4</v>
      </c>
      <c r="E5" s="205">
        <v>5</v>
      </c>
      <c r="F5" s="436">
        <v>6</v>
      </c>
    </row>
    <row r="6" spans="1:6" ht="15.75">
      <c r="A6" s="437" t="s">
        <v>24</v>
      </c>
      <c r="B6" s="438" t="s">
        <v>462</v>
      </c>
      <c r="C6" s="439"/>
      <c r="D6" s="440"/>
      <c r="E6" s="439"/>
      <c r="F6" s="441"/>
    </row>
    <row r="7" spans="1:6" ht="15.75">
      <c r="A7" s="218">
        <v>1</v>
      </c>
      <c r="B7" s="243" t="s">
        <v>463</v>
      </c>
      <c r="C7" s="244" t="s">
        <v>171</v>
      </c>
      <c r="D7" s="442">
        <v>11.5</v>
      </c>
      <c r="E7" s="443" t="s">
        <v>464</v>
      </c>
      <c r="F7" s="444"/>
    </row>
    <row r="8" spans="1:6" ht="15.75">
      <c r="A8" s="218"/>
      <c r="B8" s="293" t="s">
        <v>187</v>
      </c>
      <c r="C8" s="244"/>
      <c r="D8" s="222"/>
      <c r="E8" s="445"/>
      <c r="F8" s="444"/>
    </row>
    <row r="9" spans="1:6" ht="15.75">
      <c r="A9" s="218"/>
      <c r="B9" s="293" t="s">
        <v>465</v>
      </c>
      <c r="C9" s="244" t="s">
        <v>171</v>
      </c>
      <c r="D9" s="222">
        <v>17.72</v>
      </c>
      <c r="E9" s="445" t="s">
        <v>466</v>
      </c>
      <c r="F9" s="444"/>
    </row>
    <row r="10" spans="1:6" ht="16.5">
      <c r="A10" s="218"/>
      <c r="B10" s="293" t="s">
        <v>496</v>
      </c>
      <c r="C10" s="244" t="s">
        <v>171</v>
      </c>
      <c r="D10" s="446">
        <v>6.47</v>
      </c>
      <c r="E10" s="447" t="s">
        <v>467</v>
      </c>
      <c r="F10" s="444"/>
    </row>
    <row r="11" spans="1:6" ht="15.75">
      <c r="A11" s="218"/>
      <c r="B11" s="293" t="s">
        <v>468</v>
      </c>
      <c r="C11" s="244" t="s">
        <v>171</v>
      </c>
      <c r="D11" s="222">
        <v>13.5</v>
      </c>
      <c r="E11" s="443" t="s">
        <v>469</v>
      </c>
      <c r="F11" s="444"/>
    </row>
    <row r="12" spans="1:6" ht="15.75">
      <c r="A12" s="218">
        <v>2</v>
      </c>
      <c r="B12" s="293" t="s">
        <v>470</v>
      </c>
      <c r="C12" s="244" t="s">
        <v>471</v>
      </c>
      <c r="D12" s="222">
        <v>30.96</v>
      </c>
      <c r="E12" s="448">
        <v>36</v>
      </c>
      <c r="F12" s="444"/>
    </row>
    <row r="13" spans="1:6" ht="15.75">
      <c r="A13" s="218">
        <v>3</v>
      </c>
      <c r="B13" s="293" t="s">
        <v>472</v>
      </c>
      <c r="C13" s="244"/>
      <c r="D13" s="222"/>
      <c r="E13" s="445"/>
      <c r="F13" s="444"/>
    </row>
    <row r="14" spans="1:6" ht="15.75">
      <c r="A14" s="218"/>
      <c r="B14" s="293" t="s">
        <v>473</v>
      </c>
      <c r="C14" s="244" t="s">
        <v>474</v>
      </c>
      <c r="D14" s="357">
        <v>600</v>
      </c>
      <c r="E14" s="449">
        <v>700</v>
      </c>
      <c r="F14" s="444"/>
    </row>
    <row r="15" spans="1:6" ht="15.75">
      <c r="A15" s="218"/>
      <c r="B15" s="293" t="s">
        <v>475</v>
      </c>
      <c r="C15" s="244" t="s">
        <v>474</v>
      </c>
      <c r="D15" s="357">
        <v>133</v>
      </c>
      <c r="E15" s="449">
        <v>145</v>
      </c>
      <c r="F15" s="444"/>
    </row>
    <row r="16" spans="1:6" ht="31.5">
      <c r="A16" s="218">
        <v>4</v>
      </c>
      <c r="B16" s="293" t="s">
        <v>476</v>
      </c>
      <c r="C16" s="244" t="s">
        <v>229</v>
      </c>
      <c r="D16" s="357">
        <v>3480</v>
      </c>
      <c r="E16" s="357">
        <v>4600</v>
      </c>
      <c r="F16" s="444"/>
    </row>
    <row r="17" spans="1:6" ht="31.5">
      <c r="A17" s="218">
        <v>5</v>
      </c>
      <c r="B17" s="293" t="s">
        <v>477</v>
      </c>
      <c r="C17" s="244" t="s">
        <v>229</v>
      </c>
      <c r="D17" s="357">
        <v>5601</v>
      </c>
      <c r="E17" s="357">
        <v>6223</v>
      </c>
      <c r="F17" s="444"/>
    </row>
    <row r="18" spans="1:6" ht="15.75">
      <c r="A18" s="213" t="s">
        <v>42</v>
      </c>
      <c r="B18" s="292" t="s">
        <v>478</v>
      </c>
      <c r="C18" s="450"/>
      <c r="D18" s="354"/>
      <c r="E18" s="451"/>
      <c r="F18" s="452"/>
    </row>
    <row r="19" spans="1:6" ht="15.75">
      <c r="A19" s="218">
        <v>1</v>
      </c>
      <c r="B19" s="293" t="s">
        <v>479</v>
      </c>
      <c r="C19" s="244" t="s">
        <v>300</v>
      </c>
      <c r="D19" s="453">
        <v>0.7</v>
      </c>
      <c r="E19" s="222">
        <v>0.7</v>
      </c>
      <c r="F19" s="444"/>
    </row>
    <row r="20" spans="1:6" ht="15.75">
      <c r="A20" s="218">
        <v>2</v>
      </c>
      <c r="B20" s="293" t="s">
        <v>480</v>
      </c>
      <c r="C20" s="244" t="s">
        <v>171</v>
      </c>
      <c r="D20" s="357">
        <v>100</v>
      </c>
      <c r="E20" s="445">
        <v>100</v>
      </c>
      <c r="F20" s="444"/>
    </row>
    <row r="21" spans="1:6" ht="15.75">
      <c r="A21" s="218">
        <v>3</v>
      </c>
      <c r="B21" s="293" t="s">
        <v>481</v>
      </c>
      <c r="C21" s="244" t="s">
        <v>171</v>
      </c>
      <c r="D21" s="357">
        <v>19</v>
      </c>
      <c r="E21" s="245">
        <v>17</v>
      </c>
      <c r="F21" s="444"/>
    </row>
    <row r="22" spans="1:6" ht="15.75">
      <c r="A22" s="218">
        <v>4</v>
      </c>
      <c r="B22" s="293" t="s">
        <v>482</v>
      </c>
      <c r="C22" s="244" t="s">
        <v>171</v>
      </c>
      <c r="D22" s="357">
        <v>54</v>
      </c>
      <c r="E22" s="245">
        <v>60</v>
      </c>
      <c r="F22" s="444"/>
    </row>
    <row r="23" spans="1:6" ht="15.75">
      <c r="A23" s="218">
        <v>5</v>
      </c>
      <c r="B23" s="293" t="s">
        <v>483</v>
      </c>
      <c r="C23" s="244" t="s">
        <v>484</v>
      </c>
      <c r="D23" s="357">
        <v>22</v>
      </c>
      <c r="E23" s="445">
        <v>23</v>
      </c>
      <c r="F23" s="444"/>
    </row>
    <row r="24" spans="1:6" ht="15.75">
      <c r="A24" s="218">
        <v>6</v>
      </c>
      <c r="B24" s="293" t="s">
        <v>485</v>
      </c>
      <c r="C24" s="244" t="s">
        <v>486</v>
      </c>
      <c r="D24" s="454">
        <v>5.6</v>
      </c>
      <c r="E24" s="449">
        <v>6.5</v>
      </c>
      <c r="F24" s="444"/>
    </row>
    <row r="25" spans="1:6" ht="15.75">
      <c r="A25" s="218">
        <v>7</v>
      </c>
      <c r="B25" s="293" t="s">
        <v>487</v>
      </c>
      <c r="C25" s="244" t="s">
        <v>171</v>
      </c>
      <c r="D25" s="454">
        <v>1.5</v>
      </c>
      <c r="E25" s="445">
        <v>1.5</v>
      </c>
      <c r="F25" s="444"/>
    </row>
    <row r="26" spans="1:6" ht="15.75">
      <c r="A26" s="218">
        <v>8</v>
      </c>
      <c r="B26" s="293" t="s">
        <v>488</v>
      </c>
      <c r="C26" s="244" t="s">
        <v>186</v>
      </c>
      <c r="D26" s="357">
        <v>29400</v>
      </c>
      <c r="E26" s="357">
        <v>30200</v>
      </c>
      <c r="F26" s="444"/>
    </row>
    <row r="27" spans="1:6" ht="15.75">
      <c r="A27" s="218">
        <v>9</v>
      </c>
      <c r="B27" s="455" t="s">
        <v>419</v>
      </c>
      <c r="C27" s="244" t="s">
        <v>171</v>
      </c>
      <c r="D27" s="456">
        <v>59.7</v>
      </c>
      <c r="E27" s="456">
        <v>60</v>
      </c>
      <c r="F27" s="444"/>
    </row>
    <row r="28" spans="1:6" ht="15.75">
      <c r="A28" s="218">
        <v>10</v>
      </c>
      <c r="B28" s="293" t="s">
        <v>420</v>
      </c>
      <c r="C28" s="244" t="s">
        <v>186</v>
      </c>
      <c r="D28" s="457">
        <v>452267</v>
      </c>
      <c r="E28" s="457">
        <v>470000</v>
      </c>
      <c r="F28" s="444"/>
    </row>
    <row r="29" spans="1:6" ht="15.75">
      <c r="A29" s="218">
        <v>11</v>
      </c>
      <c r="B29" s="293" t="s">
        <v>489</v>
      </c>
      <c r="C29" s="244" t="s">
        <v>171</v>
      </c>
      <c r="D29" s="357">
        <v>33</v>
      </c>
      <c r="E29" s="445">
        <v>35</v>
      </c>
      <c r="F29" s="444"/>
    </row>
    <row r="30" spans="1:6" ht="15.75">
      <c r="A30" s="218">
        <v>12</v>
      </c>
      <c r="B30" s="293" t="s">
        <v>490</v>
      </c>
      <c r="C30" s="244" t="s">
        <v>171</v>
      </c>
      <c r="D30" s="354" t="s">
        <v>197</v>
      </c>
      <c r="E30" s="445" t="s">
        <v>491</v>
      </c>
      <c r="F30" s="444"/>
    </row>
    <row r="31" spans="1:6" ht="15.75">
      <c r="A31" s="218">
        <v>13</v>
      </c>
      <c r="B31" s="293" t="s">
        <v>492</v>
      </c>
      <c r="C31" s="244" t="s">
        <v>171</v>
      </c>
      <c r="D31" s="245">
        <v>95</v>
      </c>
      <c r="E31" s="357">
        <v>96</v>
      </c>
      <c r="F31" s="444"/>
    </row>
    <row r="32" spans="1:6" ht="15.75">
      <c r="A32" s="218">
        <v>14</v>
      </c>
      <c r="B32" s="293" t="s">
        <v>493</v>
      </c>
      <c r="C32" s="244" t="s">
        <v>171</v>
      </c>
      <c r="D32" s="245">
        <v>86</v>
      </c>
      <c r="E32" s="245">
        <v>87</v>
      </c>
      <c r="F32" s="444"/>
    </row>
    <row r="33" spans="1:6" ht="15.75">
      <c r="A33" s="218">
        <v>15</v>
      </c>
      <c r="B33" s="333" t="s">
        <v>369</v>
      </c>
      <c r="C33" s="278" t="s">
        <v>171</v>
      </c>
      <c r="D33" s="245">
        <v>49</v>
      </c>
      <c r="E33" s="245">
        <v>50</v>
      </c>
      <c r="F33" s="444"/>
    </row>
    <row r="34" spans="1:6" ht="30">
      <c r="A34" s="218">
        <v>16</v>
      </c>
      <c r="B34" s="333" t="s">
        <v>370</v>
      </c>
      <c r="C34" s="278" t="s">
        <v>171</v>
      </c>
      <c r="D34" s="245">
        <v>78</v>
      </c>
      <c r="E34" s="245">
        <v>80</v>
      </c>
      <c r="F34" s="444"/>
    </row>
    <row r="35" spans="1:6" ht="16.5" thickBot="1">
      <c r="A35" s="253">
        <v>17</v>
      </c>
      <c r="B35" s="458" t="s">
        <v>494</v>
      </c>
      <c r="C35" s="254" t="s">
        <v>171</v>
      </c>
      <c r="D35" s="460">
        <v>57.47</v>
      </c>
      <c r="E35" s="460" t="s">
        <v>495</v>
      </c>
      <c r="F35" s="459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"/>
    </sheetView>
  </sheetViews>
  <sheetFormatPr defaultColWidth="9.33203125" defaultRowHeight="12.75"/>
  <cols>
    <col min="2" max="2" width="57.5" style="0" customWidth="1"/>
    <col min="3" max="3" width="16.83203125" style="0" customWidth="1"/>
    <col min="4" max="4" width="14.83203125" style="0" customWidth="1"/>
    <col min="5" max="5" width="17.66015625" style="0" customWidth="1"/>
  </cols>
  <sheetData>
    <row r="1" spans="1:5" ht="18.75">
      <c r="A1" s="516" t="s">
        <v>306</v>
      </c>
      <c r="B1" s="516"/>
      <c r="C1" s="516"/>
      <c r="D1" s="516"/>
      <c r="E1" s="516"/>
    </row>
    <row r="2" spans="1:5" ht="18.75">
      <c r="A2" s="517" t="s">
        <v>107</v>
      </c>
      <c r="B2" s="517"/>
      <c r="C2" s="517"/>
      <c r="D2" s="517"/>
      <c r="E2" s="517"/>
    </row>
    <row r="3" spans="1:5" ht="18.75">
      <c r="A3" s="495"/>
      <c r="B3" s="495"/>
      <c r="C3" s="495"/>
      <c r="D3" s="495"/>
      <c r="E3" s="495"/>
    </row>
    <row r="4" spans="1:5" ht="17.25" thickBot="1">
      <c r="A4" s="233"/>
      <c r="B4" s="233"/>
      <c r="C4" s="233"/>
      <c r="D4" s="233"/>
      <c r="E4" s="233"/>
    </row>
    <row r="5" spans="1:5" ht="12.75">
      <c r="A5" s="542" t="s">
        <v>146</v>
      </c>
      <c r="B5" s="544" t="s">
        <v>167</v>
      </c>
      <c r="C5" s="544" t="s">
        <v>168</v>
      </c>
      <c r="D5" s="546" t="s">
        <v>169</v>
      </c>
      <c r="E5" s="540" t="s">
        <v>149</v>
      </c>
    </row>
    <row r="6" spans="1:5" ht="12.75">
      <c r="A6" s="543"/>
      <c r="B6" s="545"/>
      <c r="C6" s="545"/>
      <c r="D6" s="547"/>
      <c r="E6" s="541"/>
    </row>
    <row r="7" spans="1:5" ht="16.5">
      <c r="A7" s="370">
        <v>1</v>
      </c>
      <c r="B7" s="371">
        <v>2</v>
      </c>
      <c r="C7" s="371">
        <v>3</v>
      </c>
      <c r="D7" s="372">
        <v>4</v>
      </c>
      <c r="E7" s="373">
        <v>5</v>
      </c>
    </row>
    <row r="8" spans="1:5" ht="16.5">
      <c r="A8" s="238">
        <v>1</v>
      </c>
      <c r="B8" s="239" t="s">
        <v>307</v>
      </c>
      <c r="C8" s="240" t="s">
        <v>308</v>
      </c>
      <c r="D8" s="374">
        <v>14873</v>
      </c>
      <c r="E8" s="242"/>
    </row>
    <row r="9" spans="1:5" ht="16.5">
      <c r="A9" s="247">
        <v>2</v>
      </c>
      <c r="B9" s="248" t="s">
        <v>309</v>
      </c>
      <c r="C9" s="249" t="s">
        <v>308</v>
      </c>
      <c r="D9" s="375">
        <v>7756</v>
      </c>
      <c r="E9" s="251"/>
    </row>
    <row r="10" spans="1:5" ht="16.5">
      <c r="A10" s="247">
        <v>3</v>
      </c>
      <c r="B10" s="248" t="s">
        <v>310</v>
      </c>
      <c r="C10" s="249" t="s">
        <v>308</v>
      </c>
      <c r="D10" s="375">
        <v>75</v>
      </c>
      <c r="E10" s="251"/>
    </row>
    <row r="11" spans="1:5" ht="16.5">
      <c r="A11" s="247">
        <v>4</v>
      </c>
      <c r="B11" s="248" t="s">
        <v>311</v>
      </c>
      <c r="C11" s="249" t="s">
        <v>308</v>
      </c>
      <c r="D11" s="375">
        <v>210</v>
      </c>
      <c r="E11" s="251"/>
    </row>
    <row r="12" spans="1:5" ht="16.5">
      <c r="A12" s="247">
        <v>5</v>
      </c>
      <c r="B12" s="248" t="s">
        <v>312</v>
      </c>
      <c r="C12" s="249" t="s">
        <v>313</v>
      </c>
      <c r="D12" s="375">
        <v>224047</v>
      </c>
      <c r="E12" s="251"/>
    </row>
    <row r="13" spans="1:5" ht="16.5">
      <c r="A13" s="247">
        <v>6</v>
      </c>
      <c r="B13" s="248" t="s">
        <v>314</v>
      </c>
      <c r="C13" s="249" t="s">
        <v>171</v>
      </c>
      <c r="D13" s="375">
        <v>95</v>
      </c>
      <c r="E13" s="251"/>
    </row>
    <row r="14" spans="1:5" ht="16.5">
      <c r="A14" s="247">
        <v>7</v>
      </c>
      <c r="B14" s="248" t="s">
        <v>315</v>
      </c>
      <c r="C14" s="249" t="s">
        <v>313</v>
      </c>
      <c r="D14" s="375">
        <v>228764</v>
      </c>
      <c r="E14" s="251"/>
    </row>
    <row r="15" spans="1:5" ht="16.5">
      <c r="A15" s="247">
        <v>8</v>
      </c>
      <c r="B15" s="248" t="s">
        <v>316</v>
      </c>
      <c r="C15" s="249" t="s">
        <v>171</v>
      </c>
      <c r="D15" s="375">
        <v>97</v>
      </c>
      <c r="E15" s="251"/>
    </row>
    <row r="16" spans="1:5" ht="16.5" thickBot="1">
      <c r="A16" s="253"/>
      <c r="B16" s="254"/>
      <c r="C16" s="254"/>
      <c r="D16" s="376"/>
      <c r="E16" s="255"/>
    </row>
  </sheetData>
  <mergeCells count="8">
    <mergeCell ref="A1:E1"/>
    <mergeCell ref="A2:E2"/>
    <mergeCell ref="A3:E3"/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"/>
    </sheetView>
  </sheetViews>
  <sheetFormatPr defaultColWidth="9.33203125" defaultRowHeight="12.75"/>
  <cols>
    <col min="1" max="1" width="9.33203125" style="396" customWidth="1"/>
    <col min="2" max="2" width="67.16015625" style="396" customWidth="1"/>
    <col min="3" max="3" width="27.83203125" style="396" customWidth="1"/>
    <col min="4" max="4" width="16.16015625" style="396" customWidth="1"/>
    <col min="5" max="16384" width="9.33203125" style="396" customWidth="1"/>
  </cols>
  <sheetData>
    <row r="1" spans="1:4" ht="18.75">
      <c r="A1" s="548" t="s">
        <v>317</v>
      </c>
      <c r="B1" s="548"/>
      <c r="C1" s="548"/>
      <c r="D1" s="548"/>
    </row>
    <row r="2" spans="1:4" ht="18.75">
      <c r="A2" s="495" t="s">
        <v>107</v>
      </c>
      <c r="B2" s="495"/>
      <c r="C2" s="495"/>
      <c r="D2" s="495"/>
    </row>
    <row r="3" spans="1:4" ht="18.75">
      <c r="A3" s="495"/>
      <c r="B3" s="495"/>
      <c r="C3" s="495"/>
      <c r="D3" s="495"/>
    </row>
    <row r="4" spans="1:4" ht="17.25" thickBot="1">
      <c r="A4" s="377"/>
      <c r="B4" s="377"/>
      <c r="C4" s="377"/>
      <c r="D4" s="377"/>
    </row>
    <row r="5" spans="1:4" ht="33">
      <c r="A5" s="378" t="s">
        <v>0</v>
      </c>
      <c r="B5" s="379" t="s">
        <v>318</v>
      </c>
      <c r="C5" s="380" t="s">
        <v>319</v>
      </c>
      <c r="D5" s="381" t="s">
        <v>149</v>
      </c>
    </row>
    <row r="6" spans="1:4" ht="16.5">
      <c r="A6" s="382">
        <v>1</v>
      </c>
      <c r="B6" s="383">
        <v>2</v>
      </c>
      <c r="C6" s="383">
        <v>3</v>
      </c>
      <c r="D6" s="373">
        <v>4</v>
      </c>
    </row>
    <row r="7" spans="1:4" ht="16.5">
      <c r="A7" s="384" t="s">
        <v>24</v>
      </c>
      <c r="B7" s="385" t="s">
        <v>320</v>
      </c>
      <c r="C7" s="386">
        <f>1229+5427</f>
        <v>6656</v>
      </c>
      <c r="D7" s="387"/>
    </row>
    <row r="8" spans="1:4" ht="16.5">
      <c r="A8" s="388" t="s">
        <v>42</v>
      </c>
      <c r="B8" s="389" t="s">
        <v>321</v>
      </c>
      <c r="C8" s="390">
        <v>150</v>
      </c>
      <c r="D8" s="391"/>
    </row>
    <row r="9" spans="1:4" ht="16.5">
      <c r="A9" s="388"/>
      <c r="B9" s="248" t="s">
        <v>322</v>
      </c>
      <c r="C9" s="249">
        <v>150</v>
      </c>
      <c r="D9" s="391"/>
    </row>
    <row r="10" spans="1:4" ht="16.5">
      <c r="A10" s="388" t="s">
        <v>46</v>
      </c>
      <c r="B10" s="389" t="s">
        <v>323</v>
      </c>
      <c r="C10" s="390">
        <v>30</v>
      </c>
      <c r="D10" s="391"/>
    </row>
    <row r="11" spans="1:4" ht="16.5">
      <c r="A11" s="388"/>
      <c r="B11" s="248" t="s">
        <v>322</v>
      </c>
      <c r="C11" s="392">
        <v>30</v>
      </c>
      <c r="D11" s="391"/>
    </row>
    <row r="12" spans="1:4" ht="18.75" thickBot="1">
      <c r="A12" s="393"/>
      <c r="B12" s="394"/>
      <c r="C12" s="397"/>
      <c r="D12" s="395"/>
    </row>
  </sheetData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:N1"/>
    </sheetView>
  </sheetViews>
  <sheetFormatPr defaultColWidth="9.33203125" defaultRowHeight="12.75"/>
  <cols>
    <col min="1" max="1" width="9.33203125" style="396" customWidth="1"/>
    <col min="2" max="2" width="33.5" style="396" customWidth="1"/>
    <col min="3" max="3" width="9.33203125" style="396" customWidth="1"/>
    <col min="4" max="4" width="11.5" style="396" customWidth="1"/>
    <col min="5" max="16384" width="9.33203125" style="396" customWidth="1"/>
  </cols>
  <sheetData>
    <row r="1" spans="1:14" ht="18.75">
      <c r="A1" s="516" t="s">
        <v>324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8.75">
      <c r="A2" s="516" t="s">
        <v>325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18.75">
      <c r="A3" s="517" t="s">
        <v>107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spans="1:14" ht="19.5" thickBot="1">
      <c r="A4" s="549"/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</row>
    <row r="5" spans="1:14" ht="14.25">
      <c r="A5" s="523" t="s">
        <v>0</v>
      </c>
      <c r="B5" s="525" t="s">
        <v>167</v>
      </c>
      <c r="C5" s="525" t="s">
        <v>2</v>
      </c>
      <c r="D5" s="525" t="s">
        <v>169</v>
      </c>
      <c r="E5" s="525" t="s">
        <v>326</v>
      </c>
      <c r="F5" s="525"/>
      <c r="G5" s="525"/>
      <c r="H5" s="525"/>
      <c r="I5" s="525"/>
      <c r="J5" s="525"/>
      <c r="K5" s="525"/>
      <c r="L5" s="525"/>
      <c r="M5" s="525"/>
      <c r="N5" s="532"/>
    </row>
    <row r="6" spans="1:14" ht="42.75">
      <c r="A6" s="524"/>
      <c r="B6" s="526"/>
      <c r="C6" s="526"/>
      <c r="D6" s="526"/>
      <c r="E6" s="256" t="s">
        <v>327</v>
      </c>
      <c r="F6" s="256" t="s">
        <v>114</v>
      </c>
      <c r="G6" s="256" t="s">
        <v>328</v>
      </c>
      <c r="H6" s="256" t="s">
        <v>116</v>
      </c>
      <c r="I6" s="256" t="s">
        <v>122</v>
      </c>
      <c r="J6" s="256" t="s">
        <v>121</v>
      </c>
      <c r="K6" s="256" t="s">
        <v>117</v>
      </c>
      <c r="L6" s="256" t="s">
        <v>118</v>
      </c>
      <c r="M6" s="256" t="s">
        <v>119</v>
      </c>
      <c r="N6" s="320" t="s">
        <v>120</v>
      </c>
    </row>
    <row r="7" spans="1:14" ht="12.75">
      <c r="A7" s="398">
        <v>1</v>
      </c>
      <c r="B7" s="399">
        <v>2</v>
      </c>
      <c r="C7" s="399">
        <v>3</v>
      </c>
      <c r="D7" s="399">
        <v>4</v>
      </c>
      <c r="E7" s="399">
        <v>5</v>
      </c>
      <c r="F7" s="399">
        <v>6</v>
      </c>
      <c r="G7" s="399">
        <v>7</v>
      </c>
      <c r="H7" s="399">
        <v>8</v>
      </c>
      <c r="I7" s="399">
        <v>9</v>
      </c>
      <c r="J7" s="399">
        <v>10</v>
      </c>
      <c r="K7" s="399">
        <v>11</v>
      </c>
      <c r="L7" s="399">
        <v>12</v>
      </c>
      <c r="M7" s="399">
        <v>13</v>
      </c>
      <c r="N7" s="400">
        <v>14</v>
      </c>
    </row>
    <row r="8" spans="1:14" ht="15">
      <c r="A8" s="401" t="s">
        <v>24</v>
      </c>
      <c r="B8" s="402" t="s">
        <v>329</v>
      </c>
      <c r="C8" s="365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4"/>
    </row>
    <row r="9" spans="1:14" ht="15">
      <c r="A9" s="328"/>
      <c r="B9" s="333" t="s">
        <v>330</v>
      </c>
      <c r="C9" s="278" t="s">
        <v>331</v>
      </c>
      <c r="D9" s="405">
        <f aca="true" t="shared" si="0" ref="D9:D15">E9+F9+G9+H9+I9+J9+K9+L9+M9+N9</f>
        <v>2550</v>
      </c>
      <c r="E9" s="405">
        <v>632</v>
      </c>
      <c r="F9" s="405">
        <v>82</v>
      </c>
      <c r="G9" s="405">
        <v>40</v>
      </c>
      <c r="H9" s="405">
        <v>485</v>
      </c>
      <c r="I9" s="405">
        <v>250</v>
      </c>
      <c r="J9" s="405">
        <v>340</v>
      </c>
      <c r="K9" s="405">
        <v>226</v>
      </c>
      <c r="L9" s="405">
        <v>180</v>
      </c>
      <c r="M9" s="405">
        <v>85</v>
      </c>
      <c r="N9" s="406">
        <v>230</v>
      </c>
    </row>
    <row r="10" spans="1:14" ht="15">
      <c r="A10" s="328"/>
      <c r="B10" s="333" t="s">
        <v>332</v>
      </c>
      <c r="C10" s="278" t="s">
        <v>333</v>
      </c>
      <c r="D10" s="405">
        <f t="shared" si="0"/>
        <v>260</v>
      </c>
      <c r="E10" s="405">
        <v>64</v>
      </c>
      <c r="F10" s="405">
        <v>8</v>
      </c>
      <c r="G10" s="405">
        <v>4</v>
      </c>
      <c r="H10" s="405">
        <v>50</v>
      </c>
      <c r="I10" s="405">
        <v>26</v>
      </c>
      <c r="J10" s="405">
        <v>35</v>
      </c>
      <c r="K10" s="278">
        <v>23</v>
      </c>
      <c r="L10" s="278">
        <v>18</v>
      </c>
      <c r="M10" s="278">
        <v>9</v>
      </c>
      <c r="N10" s="407">
        <v>23</v>
      </c>
    </row>
    <row r="11" spans="1:14" ht="15">
      <c r="A11" s="408" t="s">
        <v>42</v>
      </c>
      <c r="B11" s="409" t="s">
        <v>334</v>
      </c>
      <c r="C11" s="278"/>
      <c r="D11" s="410"/>
      <c r="E11" s="278"/>
      <c r="F11" s="278"/>
      <c r="G11" s="278"/>
      <c r="H11" s="278"/>
      <c r="I11" s="278"/>
      <c r="J11" s="278"/>
      <c r="K11" s="278"/>
      <c r="L11" s="278"/>
      <c r="M11" s="278"/>
      <c r="N11" s="407"/>
    </row>
    <row r="12" spans="1:14" ht="15">
      <c r="A12" s="328"/>
      <c r="B12" s="333" t="s">
        <v>335</v>
      </c>
      <c r="C12" s="278" t="s">
        <v>336</v>
      </c>
      <c r="D12" s="405">
        <f>E12+F12+G12+H12+I12+J12+K12+L12+M12+N12</f>
        <v>38482</v>
      </c>
      <c r="E12" s="405">
        <v>4733</v>
      </c>
      <c r="F12" s="405">
        <v>1623</v>
      </c>
      <c r="G12" s="405">
        <v>2220</v>
      </c>
      <c r="H12" s="405">
        <v>3878</v>
      </c>
      <c r="I12" s="405">
        <v>3621</v>
      </c>
      <c r="J12" s="405">
        <v>2719</v>
      </c>
      <c r="K12" s="405">
        <v>6740</v>
      </c>
      <c r="L12" s="405">
        <v>3926</v>
      </c>
      <c r="M12" s="405">
        <v>2492</v>
      </c>
      <c r="N12" s="406">
        <v>6530</v>
      </c>
    </row>
    <row r="13" spans="1:14" ht="30">
      <c r="A13" s="330"/>
      <c r="B13" s="329" t="s">
        <v>337</v>
      </c>
      <c r="C13" s="411" t="s">
        <v>270</v>
      </c>
      <c r="D13" s="412">
        <f>E13+F13+G13+H13+I13+J13+K13+L13+M13+N13</f>
        <v>4113</v>
      </c>
      <c r="E13" s="412">
        <v>400</v>
      </c>
      <c r="F13" s="412">
        <v>213</v>
      </c>
      <c r="G13" s="412">
        <v>285</v>
      </c>
      <c r="H13" s="412">
        <v>413</v>
      </c>
      <c r="I13" s="412">
        <v>310</v>
      </c>
      <c r="J13" s="412">
        <v>327</v>
      </c>
      <c r="K13" s="412">
        <v>752</v>
      </c>
      <c r="L13" s="412">
        <v>381</v>
      </c>
      <c r="M13" s="412">
        <v>260</v>
      </c>
      <c r="N13" s="413">
        <v>772</v>
      </c>
    </row>
    <row r="14" spans="1:14" ht="15">
      <c r="A14" s="328"/>
      <c r="B14" s="333" t="s">
        <v>338</v>
      </c>
      <c r="C14" s="278" t="s">
        <v>339</v>
      </c>
      <c r="D14" s="405">
        <f t="shared" si="0"/>
        <v>1480</v>
      </c>
      <c r="E14" s="405">
        <v>182</v>
      </c>
      <c r="F14" s="405">
        <v>62</v>
      </c>
      <c r="G14" s="405">
        <v>85</v>
      </c>
      <c r="H14" s="405">
        <v>149</v>
      </c>
      <c r="I14" s="405">
        <v>139</v>
      </c>
      <c r="J14" s="405">
        <v>104</v>
      </c>
      <c r="K14" s="405">
        <v>260</v>
      </c>
      <c r="L14" s="405">
        <v>151</v>
      </c>
      <c r="M14" s="405">
        <v>96</v>
      </c>
      <c r="N14" s="406">
        <v>252</v>
      </c>
    </row>
    <row r="15" spans="1:14" ht="15">
      <c r="A15" s="328"/>
      <c r="B15" s="333" t="s">
        <v>340</v>
      </c>
      <c r="C15" s="278" t="s">
        <v>341</v>
      </c>
      <c r="D15" s="405">
        <f t="shared" si="0"/>
        <v>2294</v>
      </c>
      <c r="E15" s="405">
        <v>282</v>
      </c>
      <c r="F15" s="405">
        <v>96</v>
      </c>
      <c r="G15" s="405">
        <v>131</v>
      </c>
      <c r="H15" s="405">
        <v>230</v>
      </c>
      <c r="I15" s="405">
        <v>215</v>
      </c>
      <c r="J15" s="405">
        <v>162</v>
      </c>
      <c r="K15" s="405">
        <v>404</v>
      </c>
      <c r="L15" s="405">
        <v>234</v>
      </c>
      <c r="M15" s="405">
        <v>148</v>
      </c>
      <c r="N15" s="406">
        <v>392</v>
      </c>
    </row>
    <row r="16" spans="1:14" ht="30">
      <c r="A16" s="328"/>
      <c r="B16" s="333" t="s">
        <v>342</v>
      </c>
      <c r="C16" s="278" t="s">
        <v>171</v>
      </c>
      <c r="D16" s="291">
        <v>70</v>
      </c>
      <c r="E16" s="291">
        <v>72</v>
      </c>
      <c r="F16" s="291">
        <v>72</v>
      </c>
      <c r="G16" s="291">
        <v>72</v>
      </c>
      <c r="H16" s="291">
        <v>71</v>
      </c>
      <c r="I16" s="291">
        <v>68</v>
      </c>
      <c r="J16" s="291">
        <v>72</v>
      </c>
      <c r="K16" s="291">
        <v>68</v>
      </c>
      <c r="L16" s="291">
        <v>68</v>
      </c>
      <c r="M16" s="291">
        <v>68</v>
      </c>
      <c r="N16" s="414">
        <v>69</v>
      </c>
    </row>
    <row r="17" spans="1:14" ht="15">
      <c r="A17" s="408" t="s">
        <v>46</v>
      </c>
      <c r="B17" s="409" t="s">
        <v>343</v>
      </c>
      <c r="C17" s="278"/>
      <c r="D17" s="410"/>
      <c r="E17" s="405"/>
      <c r="F17" s="405"/>
      <c r="G17" s="405"/>
      <c r="H17" s="405"/>
      <c r="I17" s="405"/>
      <c r="J17" s="405"/>
      <c r="K17" s="405"/>
      <c r="L17" s="405"/>
      <c r="M17" s="405"/>
      <c r="N17" s="406"/>
    </row>
    <row r="18" spans="1:14" ht="28.5">
      <c r="A18" s="408">
        <v>1</v>
      </c>
      <c r="B18" s="409" t="s">
        <v>344</v>
      </c>
      <c r="C18" s="420" t="s">
        <v>336</v>
      </c>
      <c r="D18" s="410">
        <f>D19+D21+D23</f>
        <v>185279</v>
      </c>
      <c r="E18" s="410">
        <f>E19+E21+E23</f>
        <v>21533</v>
      </c>
      <c r="F18" s="410">
        <f aca="true" t="shared" si="1" ref="F18:N18">F19+F21+F23</f>
        <v>11947</v>
      </c>
      <c r="G18" s="410">
        <f t="shared" si="1"/>
        <v>13309</v>
      </c>
      <c r="H18" s="410">
        <f t="shared" si="1"/>
        <v>14375</v>
      </c>
      <c r="I18" s="410">
        <f t="shared" si="1"/>
        <v>17386</v>
      </c>
      <c r="J18" s="410">
        <f t="shared" si="1"/>
        <v>12977</v>
      </c>
      <c r="K18" s="410">
        <f t="shared" si="1"/>
        <v>31228</v>
      </c>
      <c r="L18" s="410">
        <f t="shared" si="1"/>
        <v>22703</v>
      </c>
      <c r="M18" s="410">
        <f t="shared" si="1"/>
        <v>10672</v>
      </c>
      <c r="N18" s="421">
        <f t="shared" si="1"/>
        <v>29149</v>
      </c>
    </row>
    <row r="19" spans="1:14" ht="15">
      <c r="A19" s="328"/>
      <c r="B19" s="333" t="s">
        <v>345</v>
      </c>
      <c r="C19" s="278" t="s">
        <v>270</v>
      </c>
      <c r="D19" s="405">
        <f>E19+F19+G19+H19+I19+J19+K19+L19+M19+N19</f>
        <v>92894</v>
      </c>
      <c r="E19" s="405">
        <v>8583</v>
      </c>
      <c r="F19" s="405">
        <v>4623</v>
      </c>
      <c r="G19" s="405">
        <v>6070</v>
      </c>
      <c r="H19" s="405">
        <v>7766</v>
      </c>
      <c r="I19" s="405">
        <v>8744</v>
      </c>
      <c r="J19" s="405">
        <v>6441</v>
      </c>
      <c r="K19" s="405">
        <v>17841</v>
      </c>
      <c r="L19" s="405">
        <v>10946</v>
      </c>
      <c r="M19" s="405">
        <v>5330</v>
      </c>
      <c r="N19" s="406">
        <v>16550</v>
      </c>
    </row>
    <row r="20" spans="1:14" ht="30">
      <c r="A20" s="330"/>
      <c r="B20" s="329" t="s">
        <v>337</v>
      </c>
      <c r="C20" s="411" t="s">
        <v>270</v>
      </c>
      <c r="D20" s="412">
        <f>E20+F20+G20+H20+I20+J20+K20+L20+M20+N20</f>
        <v>18415</v>
      </c>
      <c r="E20" s="412">
        <v>1435</v>
      </c>
      <c r="F20" s="412">
        <v>1170</v>
      </c>
      <c r="G20" s="412">
        <v>1305</v>
      </c>
      <c r="H20" s="412">
        <v>1540</v>
      </c>
      <c r="I20" s="412">
        <v>1755</v>
      </c>
      <c r="J20" s="412">
        <v>1310</v>
      </c>
      <c r="K20" s="412">
        <v>3170</v>
      </c>
      <c r="L20" s="412">
        <v>2220</v>
      </c>
      <c r="M20" s="412">
        <v>1360</v>
      </c>
      <c r="N20" s="413">
        <v>3150</v>
      </c>
    </row>
    <row r="21" spans="1:14" ht="15">
      <c r="A21" s="328"/>
      <c r="B21" s="333" t="s">
        <v>346</v>
      </c>
      <c r="C21" s="278" t="s">
        <v>270</v>
      </c>
      <c r="D21" s="405">
        <f aca="true" t="shared" si="2" ref="D21:D32">E21+F21+G21+H21+I21+J21+K21+L21+M21+N21</f>
        <v>61385</v>
      </c>
      <c r="E21" s="405">
        <v>6954</v>
      </c>
      <c r="F21" s="405">
        <v>4484</v>
      </c>
      <c r="G21" s="405">
        <v>4290</v>
      </c>
      <c r="H21" s="405">
        <v>4773</v>
      </c>
      <c r="I21" s="405">
        <v>6702</v>
      </c>
      <c r="J21" s="405">
        <v>4512</v>
      </c>
      <c r="K21" s="405">
        <v>9291</v>
      </c>
      <c r="L21" s="405">
        <v>8370</v>
      </c>
      <c r="M21" s="405">
        <v>3575</v>
      </c>
      <c r="N21" s="406">
        <v>8434</v>
      </c>
    </row>
    <row r="22" spans="1:14" ht="30">
      <c r="A22" s="330"/>
      <c r="B22" s="329" t="s">
        <v>347</v>
      </c>
      <c r="C22" s="411" t="s">
        <v>270</v>
      </c>
      <c r="D22" s="412">
        <f t="shared" si="2"/>
        <v>10548</v>
      </c>
      <c r="E22" s="412">
        <v>920</v>
      </c>
      <c r="F22" s="412">
        <v>785</v>
      </c>
      <c r="G22" s="412">
        <v>644</v>
      </c>
      <c r="H22" s="412">
        <v>958</v>
      </c>
      <c r="I22" s="412">
        <v>987</v>
      </c>
      <c r="J22" s="412">
        <v>720</v>
      </c>
      <c r="K22" s="412">
        <v>1930</v>
      </c>
      <c r="L22" s="412">
        <v>1300</v>
      </c>
      <c r="M22" s="412">
        <v>644</v>
      </c>
      <c r="N22" s="413">
        <v>1660</v>
      </c>
    </row>
    <row r="23" spans="1:14" ht="15">
      <c r="A23" s="328"/>
      <c r="B23" s="333" t="s">
        <v>348</v>
      </c>
      <c r="C23" s="278" t="s">
        <v>270</v>
      </c>
      <c r="D23" s="405">
        <f t="shared" si="2"/>
        <v>31000</v>
      </c>
      <c r="E23" s="405">
        <v>5996</v>
      </c>
      <c r="F23" s="405">
        <v>2840</v>
      </c>
      <c r="G23" s="405">
        <v>2949</v>
      </c>
      <c r="H23" s="405">
        <v>1836</v>
      </c>
      <c r="I23" s="405">
        <v>1940</v>
      </c>
      <c r="J23" s="405">
        <v>2024</v>
      </c>
      <c r="K23" s="405">
        <v>4096</v>
      </c>
      <c r="L23" s="405">
        <v>3387</v>
      </c>
      <c r="M23" s="405">
        <v>1767</v>
      </c>
      <c r="N23" s="406">
        <v>4165</v>
      </c>
    </row>
    <row r="24" spans="1:14" ht="30">
      <c r="A24" s="330"/>
      <c r="B24" s="329" t="s">
        <v>347</v>
      </c>
      <c r="C24" s="411" t="s">
        <v>270</v>
      </c>
      <c r="D24" s="412">
        <f t="shared" si="2"/>
        <v>2634</v>
      </c>
      <c r="E24" s="412">
        <v>600</v>
      </c>
      <c r="F24" s="412">
        <v>261</v>
      </c>
      <c r="G24" s="412">
        <v>24</v>
      </c>
      <c r="H24" s="412">
        <v>200</v>
      </c>
      <c r="I24" s="412">
        <v>170</v>
      </c>
      <c r="J24" s="412">
        <v>190</v>
      </c>
      <c r="K24" s="412">
        <v>341</v>
      </c>
      <c r="L24" s="412">
        <v>324</v>
      </c>
      <c r="M24" s="412">
        <v>185</v>
      </c>
      <c r="N24" s="413">
        <v>339</v>
      </c>
    </row>
    <row r="25" spans="1:14" ht="14.25">
      <c r="A25" s="408">
        <v>2</v>
      </c>
      <c r="B25" s="409" t="s">
        <v>349</v>
      </c>
      <c r="C25" s="420" t="s">
        <v>350</v>
      </c>
      <c r="D25" s="410">
        <f>D26+D27+D28</f>
        <v>6251</v>
      </c>
      <c r="E25" s="410">
        <f>E26+E27+E28</f>
        <v>701</v>
      </c>
      <c r="F25" s="410">
        <f aca="true" t="shared" si="3" ref="F25:N25">F26+F27+F28</f>
        <v>389</v>
      </c>
      <c r="G25" s="410">
        <f t="shared" si="3"/>
        <v>442</v>
      </c>
      <c r="H25" s="410">
        <f t="shared" si="3"/>
        <v>491</v>
      </c>
      <c r="I25" s="410">
        <f t="shared" si="3"/>
        <v>588</v>
      </c>
      <c r="J25" s="410">
        <f t="shared" si="3"/>
        <v>437</v>
      </c>
      <c r="K25" s="410">
        <f t="shared" si="3"/>
        <v>1077</v>
      </c>
      <c r="L25" s="410">
        <f t="shared" si="3"/>
        <v>762</v>
      </c>
      <c r="M25" s="410">
        <f t="shared" si="3"/>
        <v>360</v>
      </c>
      <c r="N25" s="421">
        <f t="shared" si="3"/>
        <v>1004</v>
      </c>
    </row>
    <row r="26" spans="1:14" ht="15">
      <c r="A26" s="328"/>
      <c r="B26" s="333" t="s">
        <v>351</v>
      </c>
      <c r="C26" s="278" t="s">
        <v>270</v>
      </c>
      <c r="D26" s="405">
        <f t="shared" si="2"/>
        <v>3630</v>
      </c>
      <c r="E26" s="405">
        <v>336</v>
      </c>
      <c r="F26" s="405">
        <v>181</v>
      </c>
      <c r="G26" s="405">
        <v>237</v>
      </c>
      <c r="H26" s="405">
        <v>303</v>
      </c>
      <c r="I26" s="405">
        <v>342</v>
      </c>
      <c r="J26" s="405">
        <v>252</v>
      </c>
      <c r="K26" s="405">
        <v>697</v>
      </c>
      <c r="L26" s="405">
        <v>428</v>
      </c>
      <c r="M26" s="405">
        <v>208</v>
      </c>
      <c r="N26" s="406">
        <v>646</v>
      </c>
    </row>
    <row r="27" spans="1:14" ht="15">
      <c r="A27" s="328"/>
      <c r="B27" s="333" t="s">
        <v>352</v>
      </c>
      <c r="C27" s="278" t="s">
        <v>270</v>
      </c>
      <c r="D27" s="405">
        <f t="shared" si="2"/>
        <v>1760</v>
      </c>
      <c r="E27" s="405">
        <v>199</v>
      </c>
      <c r="F27" s="405">
        <v>129</v>
      </c>
      <c r="G27" s="405">
        <v>123</v>
      </c>
      <c r="H27" s="405">
        <v>137</v>
      </c>
      <c r="I27" s="405">
        <v>192</v>
      </c>
      <c r="J27" s="405">
        <v>129</v>
      </c>
      <c r="K27" s="405">
        <v>266</v>
      </c>
      <c r="L27" s="405">
        <v>240</v>
      </c>
      <c r="M27" s="405">
        <v>103</v>
      </c>
      <c r="N27" s="406">
        <v>242</v>
      </c>
    </row>
    <row r="28" spans="1:14" ht="15">
      <c r="A28" s="328"/>
      <c r="B28" s="333" t="s">
        <v>353</v>
      </c>
      <c r="C28" s="278" t="s">
        <v>270</v>
      </c>
      <c r="D28" s="405">
        <f t="shared" si="2"/>
        <v>861</v>
      </c>
      <c r="E28" s="405">
        <v>166</v>
      </c>
      <c r="F28" s="405">
        <v>79</v>
      </c>
      <c r="G28" s="405">
        <v>82</v>
      </c>
      <c r="H28" s="405">
        <v>51</v>
      </c>
      <c r="I28" s="405">
        <v>54</v>
      </c>
      <c r="J28" s="405">
        <v>56</v>
      </c>
      <c r="K28" s="405">
        <v>114</v>
      </c>
      <c r="L28" s="405">
        <v>94</v>
      </c>
      <c r="M28" s="405">
        <v>49</v>
      </c>
      <c r="N28" s="406">
        <v>116</v>
      </c>
    </row>
    <row r="29" spans="1:14" ht="14.25">
      <c r="A29" s="408">
        <v>3</v>
      </c>
      <c r="B29" s="409" t="s">
        <v>354</v>
      </c>
      <c r="C29" s="420" t="s">
        <v>341</v>
      </c>
      <c r="D29" s="410">
        <f>D30+D31+D32</f>
        <v>10873</v>
      </c>
      <c r="E29" s="410">
        <f>E30+E31+E32</f>
        <v>1266</v>
      </c>
      <c r="F29" s="410">
        <f aca="true" t="shared" si="4" ref="F29:N29">F30+F31+F32</f>
        <v>703</v>
      </c>
      <c r="G29" s="410">
        <f t="shared" si="4"/>
        <v>783</v>
      </c>
      <c r="H29" s="410">
        <f t="shared" si="4"/>
        <v>841</v>
      </c>
      <c r="I29" s="410">
        <f t="shared" si="4"/>
        <v>1017</v>
      </c>
      <c r="J29" s="410">
        <f t="shared" si="4"/>
        <v>762</v>
      </c>
      <c r="K29" s="410">
        <f t="shared" si="4"/>
        <v>1830</v>
      </c>
      <c r="L29" s="410">
        <f t="shared" si="4"/>
        <v>1332</v>
      </c>
      <c r="M29" s="410">
        <f t="shared" si="4"/>
        <v>630</v>
      </c>
      <c r="N29" s="421">
        <f t="shared" si="4"/>
        <v>1709</v>
      </c>
    </row>
    <row r="30" spans="1:14" ht="15">
      <c r="A30" s="330"/>
      <c r="B30" s="333" t="s">
        <v>351</v>
      </c>
      <c r="C30" s="411" t="s">
        <v>270</v>
      </c>
      <c r="D30" s="405">
        <f>E30+F30+G30+H30+I30+J30+K30+L30+M30+N30</f>
        <v>5445</v>
      </c>
      <c r="E30" s="412">
        <v>500</v>
      </c>
      <c r="F30" s="412">
        <v>270</v>
      </c>
      <c r="G30" s="412">
        <v>355</v>
      </c>
      <c r="H30" s="412">
        <v>455</v>
      </c>
      <c r="I30" s="412">
        <v>515</v>
      </c>
      <c r="J30" s="412">
        <v>380</v>
      </c>
      <c r="K30" s="412">
        <v>1045</v>
      </c>
      <c r="L30" s="412">
        <v>644</v>
      </c>
      <c r="M30" s="412">
        <v>313</v>
      </c>
      <c r="N30" s="413">
        <v>968</v>
      </c>
    </row>
    <row r="31" spans="1:14" ht="15">
      <c r="A31" s="330"/>
      <c r="B31" s="333" t="s">
        <v>352</v>
      </c>
      <c r="C31" s="411" t="s">
        <v>270</v>
      </c>
      <c r="D31" s="405">
        <f t="shared" si="2"/>
        <v>3508</v>
      </c>
      <c r="E31" s="412">
        <v>396</v>
      </c>
      <c r="F31" s="412">
        <v>257</v>
      </c>
      <c r="G31" s="412">
        <v>245</v>
      </c>
      <c r="H31" s="412">
        <v>273</v>
      </c>
      <c r="I31" s="412">
        <v>382</v>
      </c>
      <c r="J31" s="412">
        <v>257</v>
      </c>
      <c r="K31" s="412">
        <v>530</v>
      </c>
      <c r="L31" s="412">
        <v>479</v>
      </c>
      <c r="M31" s="412">
        <v>207</v>
      </c>
      <c r="N31" s="413">
        <v>482</v>
      </c>
    </row>
    <row r="32" spans="1:14" ht="15">
      <c r="A32" s="330"/>
      <c r="B32" s="333" t="s">
        <v>353</v>
      </c>
      <c r="C32" s="411" t="s">
        <v>270</v>
      </c>
      <c r="D32" s="405">
        <f t="shared" si="2"/>
        <v>1920</v>
      </c>
      <c r="E32" s="412">
        <v>370</v>
      </c>
      <c r="F32" s="412">
        <v>176</v>
      </c>
      <c r="G32" s="412">
        <v>183</v>
      </c>
      <c r="H32" s="412">
        <v>113</v>
      </c>
      <c r="I32" s="412">
        <v>120</v>
      </c>
      <c r="J32" s="412">
        <v>125</v>
      </c>
      <c r="K32" s="412">
        <v>255</v>
      </c>
      <c r="L32" s="412">
        <v>209</v>
      </c>
      <c r="M32" s="412">
        <v>110</v>
      </c>
      <c r="N32" s="413">
        <v>259</v>
      </c>
    </row>
    <row r="33" spans="1:14" ht="28.5">
      <c r="A33" s="408">
        <v>4</v>
      </c>
      <c r="B33" s="409" t="s">
        <v>355</v>
      </c>
      <c r="C33" s="420" t="s">
        <v>171</v>
      </c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21"/>
    </row>
    <row r="34" spans="1:14" ht="15">
      <c r="A34" s="328"/>
      <c r="B34" s="333" t="s">
        <v>351</v>
      </c>
      <c r="C34" s="278" t="s">
        <v>270</v>
      </c>
      <c r="D34" s="291">
        <v>95.4</v>
      </c>
      <c r="E34" s="291">
        <v>97</v>
      </c>
      <c r="F34" s="405">
        <v>96</v>
      </c>
      <c r="G34" s="405">
        <v>96</v>
      </c>
      <c r="H34" s="405">
        <v>96</v>
      </c>
      <c r="I34" s="405">
        <v>95</v>
      </c>
      <c r="J34" s="405">
        <v>96</v>
      </c>
      <c r="K34" s="405">
        <v>95</v>
      </c>
      <c r="L34" s="405">
        <v>95</v>
      </c>
      <c r="M34" s="291">
        <v>93</v>
      </c>
      <c r="N34" s="414">
        <v>95</v>
      </c>
    </row>
    <row r="35" spans="1:14" ht="15">
      <c r="A35" s="328"/>
      <c r="B35" s="333" t="s">
        <v>352</v>
      </c>
      <c r="C35" s="278" t="s">
        <v>270</v>
      </c>
      <c r="D35" s="291">
        <f>(E35+F35+G35+H35+I35+J35+K35+L35+M35+N35)/10</f>
        <v>85</v>
      </c>
      <c r="E35" s="405">
        <v>87</v>
      </c>
      <c r="F35" s="405">
        <v>87</v>
      </c>
      <c r="G35" s="405">
        <v>87</v>
      </c>
      <c r="H35" s="405">
        <v>85</v>
      </c>
      <c r="I35" s="405">
        <v>85</v>
      </c>
      <c r="J35" s="405">
        <v>85</v>
      </c>
      <c r="K35" s="405">
        <v>84</v>
      </c>
      <c r="L35" s="405">
        <v>84</v>
      </c>
      <c r="M35" s="405">
        <v>83</v>
      </c>
      <c r="N35" s="406">
        <v>83</v>
      </c>
    </row>
    <row r="36" spans="1:14" ht="15">
      <c r="A36" s="328"/>
      <c r="B36" s="333" t="s">
        <v>353</v>
      </c>
      <c r="C36" s="278" t="s">
        <v>270</v>
      </c>
      <c r="D36" s="291">
        <f>(E36+F36+G36+H36+I36+J36+K36+L36+M36+N36)/10</f>
        <v>65</v>
      </c>
      <c r="E36" s="405">
        <v>68</v>
      </c>
      <c r="F36" s="405">
        <v>68</v>
      </c>
      <c r="G36" s="405">
        <v>68</v>
      </c>
      <c r="H36" s="405">
        <v>68</v>
      </c>
      <c r="I36" s="405">
        <v>66</v>
      </c>
      <c r="J36" s="405">
        <v>66</v>
      </c>
      <c r="K36" s="405">
        <v>64</v>
      </c>
      <c r="L36" s="405">
        <v>62</v>
      </c>
      <c r="M36" s="405">
        <v>60</v>
      </c>
      <c r="N36" s="406">
        <v>60</v>
      </c>
    </row>
    <row r="37" spans="1:14" ht="28.5">
      <c r="A37" s="408">
        <v>5</v>
      </c>
      <c r="B37" s="409" t="s">
        <v>356</v>
      </c>
      <c r="C37" s="420" t="s">
        <v>357</v>
      </c>
      <c r="D37" s="410">
        <f>E37+F37+G37+H37+I37+J37+K37+L37+M37+N37</f>
        <v>111</v>
      </c>
      <c r="E37" s="410">
        <v>8</v>
      </c>
      <c r="F37" s="410">
        <v>6</v>
      </c>
      <c r="G37" s="410">
        <v>7</v>
      </c>
      <c r="H37" s="410">
        <v>11</v>
      </c>
      <c r="I37" s="410">
        <v>13</v>
      </c>
      <c r="J37" s="410">
        <v>9</v>
      </c>
      <c r="K37" s="410">
        <v>18</v>
      </c>
      <c r="L37" s="410">
        <v>16</v>
      </c>
      <c r="M37" s="410">
        <v>7</v>
      </c>
      <c r="N37" s="421">
        <v>16</v>
      </c>
    </row>
    <row r="38" spans="1:14" ht="15">
      <c r="A38" s="330"/>
      <c r="B38" s="333" t="s">
        <v>358</v>
      </c>
      <c r="C38" s="411" t="s">
        <v>171</v>
      </c>
      <c r="D38" s="405">
        <v>100</v>
      </c>
      <c r="E38" s="405">
        <v>100</v>
      </c>
      <c r="F38" s="405">
        <v>100</v>
      </c>
      <c r="G38" s="405">
        <v>100</v>
      </c>
      <c r="H38" s="405">
        <v>100</v>
      </c>
      <c r="I38" s="405">
        <v>100</v>
      </c>
      <c r="J38" s="405">
        <v>100</v>
      </c>
      <c r="K38" s="405">
        <v>100</v>
      </c>
      <c r="L38" s="405">
        <v>100</v>
      </c>
      <c r="M38" s="405">
        <v>100</v>
      </c>
      <c r="N38" s="406">
        <v>100</v>
      </c>
    </row>
    <row r="39" spans="1:14" ht="28.5">
      <c r="A39" s="408">
        <v>6</v>
      </c>
      <c r="B39" s="409" t="s">
        <v>359</v>
      </c>
      <c r="C39" s="420" t="s">
        <v>360</v>
      </c>
      <c r="D39" s="410">
        <f>E39+F39+G39+H39+I39+J39+K39+L39+M39+N39</f>
        <v>1572</v>
      </c>
      <c r="E39" s="410">
        <v>180</v>
      </c>
      <c r="F39" s="410">
        <v>32</v>
      </c>
      <c r="G39" s="410">
        <v>94</v>
      </c>
      <c r="H39" s="410">
        <v>89</v>
      </c>
      <c r="I39" s="410">
        <v>230</v>
      </c>
      <c r="J39" s="410">
        <v>38</v>
      </c>
      <c r="K39" s="410">
        <v>150</v>
      </c>
      <c r="L39" s="410">
        <v>243</v>
      </c>
      <c r="M39" s="410">
        <v>223</v>
      </c>
      <c r="N39" s="421">
        <v>293</v>
      </c>
    </row>
    <row r="40" spans="1:14" ht="14.25">
      <c r="A40" s="408">
        <v>7</v>
      </c>
      <c r="B40" s="409" t="s">
        <v>361</v>
      </c>
      <c r="C40" s="420" t="s">
        <v>357</v>
      </c>
      <c r="D40" s="410">
        <f>E40+F40+G40+H40+I40+J40+K40+L40+M40+N40</f>
        <v>111</v>
      </c>
      <c r="E40" s="410">
        <v>8</v>
      </c>
      <c r="F40" s="410">
        <v>6</v>
      </c>
      <c r="G40" s="410">
        <v>7</v>
      </c>
      <c r="H40" s="410">
        <v>11</v>
      </c>
      <c r="I40" s="410">
        <v>13</v>
      </c>
      <c r="J40" s="410">
        <v>9</v>
      </c>
      <c r="K40" s="410">
        <v>18</v>
      </c>
      <c r="L40" s="410">
        <v>16</v>
      </c>
      <c r="M40" s="410">
        <v>7</v>
      </c>
      <c r="N40" s="421">
        <v>16</v>
      </c>
    </row>
    <row r="41" spans="1:14" ht="15">
      <c r="A41" s="328"/>
      <c r="B41" s="333" t="s">
        <v>362</v>
      </c>
      <c r="C41" s="278" t="s">
        <v>171</v>
      </c>
      <c r="D41" s="405">
        <v>100</v>
      </c>
      <c r="E41" s="405">
        <v>100</v>
      </c>
      <c r="F41" s="405">
        <v>100</v>
      </c>
      <c r="G41" s="405">
        <v>100</v>
      </c>
      <c r="H41" s="405">
        <v>100</v>
      </c>
      <c r="I41" s="405">
        <v>100</v>
      </c>
      <c r="J41" s="405">
        <v>100</v>
      </c>
      <c r="K41" s="405">
        <v>100</v>
      </c>
      <c r="L41" s="405">
        <v>100</v>
      </c>
      <c r="M41" s="405">
        <v>100</v>
      </c>
      <c r="N41" s="406">
        <v>100</v>
      </c>
    </row>
    <row r="42" spans="1:14" ht="14.25">
      <c r="A42" s="408">
        <v>8</v>
      </c>
      <c r="B42" s="409" t="s">
        <v>363</v>
      </c>
      <c r="C42" s="420" t="s">
        <v>364</v>
      </c>
      <c r="D42" s="410">
        <v>10</v>
      </c>
      <c r="E42" s="410">
        <v>1</v>
      </c>
      <c r="F42" s="410">
        <v>1</v>
      </c>
      <c r="G42" s="410">
        <v>1</v>
      </c>
      <c r="H42" s="410">
        <v>1</v>
      </c>
      <c r="I42" s="410">
        <v>1</v>
      </c>
      <c r="J42" s="410">
        <v>1</v>
      </c>
      <c r="K42" s="410">
        <v>1</v>
      </c>
      <c r="L42" s="410">
        <v>1</v>
      </c>
      <c r="M42" s="410">
        <v>1</v>
      </c>
      <c r="N42" s="421">
        <v>1</v>
      </c>
    </row>
    <row r="43" spans="1:14" ht="15">
      <c r="A43" s="328"/>
      <c r="B43" s="333" t="s">
        <v>365</v>
      </c>
      <c r="C43" s="278" t="s">
        <v>171</v>
      </c>
      <c r="D43" s="405">
        <v>100</v>
      </c>
      <c r="E43" s="405">
        <v>100</v>
      </c>
      <c r="F43" s="405">
        <v>100</v>
      </c>
      <c r="G43" s="405">
        <v>100</v>
      </c>
      <c r="H43" s="405">
        <v>100</v>
      </c>
      <c r="I43" s="405">
        <v>100</v>
      </c>
      <c r="J43" s="405">
        <v>100</v>
      </c>
      <c r="K43" s="405">
        <v>100</v>
      </c>
      <c r="L43" s="405">
        <v>100</v>
      </c>
      <c r="M43" s="405">
        <v>100</v>
      </c>
      <c r="N43" s="406">
        <v>100</v>
      </c>
    </row>
    <row r="44" spans="1:14" ht="14.25">
      <c r="A44" s="408">
        <v>9</v>
      </c>
      <c r="B44" s="409" t="s">
        <v>366</v>
      </c>
      <c r="C44" s="420" t="s">
        <v>336</v>
      </c>
      <c r="D44" s="410">
        <f>E44+F44+G44+H44+I44+J44+K44+L44+M44+N44</f>
        <v>528</v>
      </c>
      <c r="E44" s="410">
        <v>150</v>
      </c>
      <c r="F44" s="410">
        <v>20</v>
      </c>
      <c r="G44" s="410">
        <v>20</v>
      </c>
      <c r="H44" s="410">
        <v>25</v>
      </c>
      <c r="I44" s="410">
        <v>20</v>
      </c>
      <c r="J44" s="410">
        <v>15</v>
      </c>
      <c r="K44" s="410">
        <v>71</v>
      </c>
      <c r="L44" s="410">
        <v>20</v>
      </c>
      <c r="M44" s="410">
        <v>20</v>
      </c>
      <c r="N44" s="421">
        <v>167</v>
      </c>
    </row>
    <row r="45" spans="1:14" ht="14.25">
      <c r="A45" s="408">
        <v>10</v>
      </c>
      <c r="B45" s="409" t="s">
        <v>367</v>
      </c>
      <c r="C45" s="420" t="s">
        <v>336</v>
      </c>
      <c r="D45" s="410">
        <f>E45+F45+G45+H45+I45+J45+K45+L45+M45+N45</f>
        <v>1483</v>
      </c>
      <c r="E45" s="410">
        <v>120</v>
      </c>
      <c r="F45" s="410">
        <v>18</v>
      </c>
      <c r="G45" s="410">
        <v>124</v>
      </c>
      <c r="H45" s="410">
        <v>67</v>
      </c>
      <c r="I45" s="410">
        <v>147</v>
      </c>
      <c r="J45" s="410">
        <v>47</v>
      </c>
      <c r="K45" s="410">
        <v>150</v>
      </c>
      <c r="L45" s="410">
        <v>368</v>
      </c>
      <c r="M45" s="410">
        <v>275</v>
      </c>
      <c r="N45" s="421">
        <v>167</v>
      </c>
    </row>
    <row r="46" spans="1:14" ht="14.25">
      <c r="A46" s="408">
        <v>11</v>
      </c>
      <c r="B46" s="409" t="s">
        <v>368</v>
      </c>
      <c r="C46" s="420" t="s">
        <v>336</v>
      </c>
      <c r="D46" s="410">
        <f>E46+F46+G46+H46+I46+J46+K46+L46+M46+N46</f>
        <v>1356</v>
      </c>
      <c r="E46" s="410">
        <v>133</v>
      </c>
      <c r="F46" s="410">
        <v>10</v>
      </c>
      <c r="G46" s="410">
        <v>82</v>
      </c>
      <c r="H46" s="410">
        <v>41</v>
      </c>
      <c r="I46" s="410">
        <v>95</v>
      </c>
      <c r="J46" s="410">
        <v>30</v>
      </c>
      <c r="K46" s="410">
        <v>72</v>
      </c>
      <c r="L46" s="410">
        <v>368</v>
      </c>
      <c r="M46" s="410">
        <v>275</v>
      </c>
      <c r="N46" s="421">
        <v>250</v>
      </c>
    </row>
    <row r="47" spans="1:14" ht="34.5">
      <c r="A47" s="422">
        <v>12</v>
      </c>
      <c r="B47" s="423" t="s">
        <v>369</v>
      </c>
      <c r="C47" s="420" t="s">
        <v>171</v>
      </c>
      <c r="D47" s="410">
        <v>50</v>
      </c>
      <c r="E47" s="410">
        <v>62</v>
      </c>
      <c r="F47" s="410">
        <v>42</v>
      </c>
      <c r="G47" s="410">
        <v>62</v>
      </c>
      <c r="H47" s="410">
        <v>62</v>
      </c>
      <c r="I47" s="424">
        <v>57.4</v>
      </c>
      <c r="J47" s="410">
        <v>62</v>
      </c>
      <c r="K47" s="424">
        <v>24.3</v>
      </c>
      <c r="L47" s="424">
        <v>35</v>
      </c>
      <c r="M47" s="410">
        <v>62</v>
      </c>
      <c r="N47" s="425">
        <v>30.4</v>
      </c>
    </row>
    <row r="48" spans="1:14" ht="28.5">
      <c r="A48" s="426">
        <v>13</v>
      </c>
      <c r="B48" s="427" t="s">
        <v>459</v>
      </c>
      <c r="C48" s="428" t="s">
        <v>171</v>
      </c>
      <c r="D48" s="429">
        <v>80</v>
      </c>
      <c r="E48" s="430">
        <v>86.3</v>
      </c>
      <c r="F48" s="430">
        <v>86.3</v>
      </c>
      <c r="G48" s="430">
        <v>86.3</v>
      </c>
      <c r="H48" s="431">
        <v>86.3</v>
      </c>
      <c r="I48" s="431">
        <v>86.3</v>
      </c>
      <c r="J48" s="431">
        <v>86.2</v>
      </c>
      <c r="K48" s="430">
        <v>57.4</v>
      </c>
      <c r="L48" s="430">
        <v>80.7</v>
      </c>
      <c r="M48" s="430">
        <v>86.1</v>
      </c>
      <c r="N48" s="430">
        <v>58.3</v>
      </c>
    </row>
    <row r="49" spans="1:14" ht="16.5" thickBot="1">
      <c r="A49" s="415"/>
      <c r="B49" s="416"/>
      <c r="C49" s="416"/>
      <c r="D49" s="417"/>
      <c r="E49" s="418"/>
      <c r="F49" s="418"/>
      <c r="G49" s="418"/>
      <c r="H49" s="418"/>
      <c r="I49" s="418"/>
      <c r="J49" s="418"/>
      <c r="K49" s="418"/>
      <c r="L49" s="418"/>
      <c r="M49" s="418"/>
      <c r="N49" s="419"/>
    </row>
  </sheetData>
  <mergeCells count="9">
    <mergeCell ref="A1:N1"/>
    <mergeCell ref="A2:N2"/>
    <mergeCell ref="A3:N3"/>
    <mergeCell ref="A4:N4"/>
    <mergeCell ref="E5:N5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E1"/>
    </sheetView>
  </sheetViews>
  <sheetFormatPr defaultColWidth="9.33203125" defaultRowHeight="12.75"/>
  <cols>
    <col min="2" max="2" width="63.83203125" style="0" customWidth="1"/>
    <col min="3" max="3" width="16.16015625" style="0" customWidth="1"/>
    <col min="4" max="4" width="17.16015625" style="0" customWidth="1"/>
  </cols>
  <sheetData>
    <row r="1" spans="1:5" ht="18.75">
      <c r="A1" s="516" t="s">
        <v>371</v>
      </c>
      <c r="B1" s="516"/>
      <c r="C1" s="516"/>
      <c r="D1" s="516"/>
      <c r="E1" s="516"/>
    </row>
    <row r="2" spans="1:5" ht="18.75">
      <c r="A2" s="517" t="s">
        <v>107</v>
      </c>
      <c r="B2" s="517"/>
      <c r="C2" s="517"/>
      <c r="D2" s="517"/>
      <c r="E2" s="517"/>
    </row>
    <row r="3" spans="1:5" ht="16.5">
      <c r="A3" s="519"/>
      <c r="B3" s="519"/>
      <c r="C3" s="519"/>
      <c r="D3" s="519"/>
      <c r="E3" s="519"/>
    </row>
    <row r="4" spans="1:5" ht="16.5">
      <c r="A4" s="551"/>
      <c r="B4" s="551"/>
      <c r="C4" s="551"/>
      <c r="D4" s="551"/>
      <c r="E4" s="551"/>
    </row>
    <row r="5" spans="1:5" ht="16.5" thickBot="1">
      <c r="A5" s="550"/>
      <c r="B5" s="550"/>
      <c r="C5" s="550"/>
      <c r="D5" s="550"/>
      <c r="E5" s="550"/>
    </row>
    <row r="6" spans="1:5" ht="31.5">
      <c r="A6" s="434" t="s">
        <v>0</v>
      </c>
      <c r="B6" s="435" t="s">
        <v>167</v>
      </c>
      <c r="C6" s="435" t="s">
        <v>372</v>
      </c>
      <c r="D6" s="435" t="s">
        <v>169</v>
      </c>
      <c r="E6" s="203" t="s">
        <v>149</v>
      </c>
    </row>
    <row r="7" spans="1:5" ht="15.75">
      <c r="A7" s="204">
        <v>1</v>
      </c>
      <c r="B7" s="205">
        <v>2</v>
      </c>
      <c r="C7" s="205">
        <v>3</v>
      </c>
      <c r="D7" s="205">
        <v>4</v>
      </c>
      <c r="E7" s="436">
        <v>5</v>
      </c>
    </row>
    <row r="8" spans="1:5" ht="15.75">
      <c r="A8" s="208" t="s">
        <v>24</v>
      </c>
      <c r="B8" s="461" t="s">
        <v>373</v>
      </c>
      <c r="C8" s="462"/>
      <c r="D8" s="463"/>
      <c r="E8" s="464"/>
    </row>
    <row r="9" spans="1:5" ht="15.75">
      <c r="A9" s="218">
        <v>1</v>
      </c>
      <c r="B9" s="293" t="s">
        <v>374</v>
      </c>
      <c r="C9" s="244" t="s">
        <v>375</v>
      </c>
      <c r="D9" s="264">
        <v>3090</v>
      </c>
      <c r="E9" s="246"/>
    </row>
    <row r="10" spans="1:5" ht="15.75">
      <c r="A10" s="218">
        <v>2</v>
      </c>
      <c r="B10" s="293" t="s">
        <v>376</v>
      </c>
      <c r="C10" s="244" t="s">
        <v>377</v>
      </c>
      <c r="D10" s="264">
        <v>400</v>
      </c>
      <c r="E10" s="246"/>
    </row>
    <row r="11" spans="1:5" ht="15.75">
      <c r="A11" s="218">
        <v>3</v>
      </c>
      <c r="B11" s="293" t="s">
        <v>378</v>
      </c>
      <c r="C11" s="244" t="s">
        <v>379</v>
      </c>
      <c r="D11" s="264">
        <v>17500</v>
      </c>
      <c r="E11" s="246"/>
    </row>
    <row r="12" spans="1:5" ht="15.75">
      <c r="A12" s="213" t="s">
        <v>42</v>
      </c>
      <c r="B12" s="292" t="s">
        <v>380</v>
      </c>
      <c r="C12" s="450"/>
      <c r="D12" s="465"/>
      <c r="E12" s="466"/>
    </row>
    <row r="13" spans="1:5" ht="15.75">
      <c r="A13" s="218">
        <v>1</v>
      </c>
      <c r="B13" s="293" t="s">
        <v>381</v>
      </c>
      <c r="C13" s="244" t="s">
        <v>382</v>
      </c>
      <c r="D13" s="264">
        <v>610</v>
      </c>
      <c r="E13" s="246"/>
    </row>
    <row r="14" spans="1:5" ht="15.75">
      <c r="A14" s="218">
        <v>2</v>
      </c>
      <c r="B14" s="293" t="s">
        <v>383</v>
      </c>
      <c r="C14" s="244" t="s">
        <v>171</v>
      </c>
      <c r="D14" s="264" t="s">
        <v>384</v>
      </c>
      <c r="E14" s="246"/>
    </row>
    <row r="15" spans="1:5" ht="15.75">
      <c r="A15" s="213" t="s">
        <v>46</v>
      </c>
      <c r="B15" s="292" t="s">
        <v>385</v>
      </c>
      <c r="C15" s="450"/>
      <c r="D15" s="465"/>
      <c r="E15" s="466"/>
    </row>
    <row r="16" spans="1:5" ht="15.75">
      <c r="A16" s="218">
        <v>1</v>
      </c>
      <c r="B16" s="293" t="s">
        <v>386</v>
      </c>
      <c r="C16" s="244" t="s">
        <v>375</v>
      </c>
      <c r="D16" s="264">
        <v>120</v>
      </c>
      <c r="E16" s="246"/>
    </row>
    <row r="17" spans="1:5" ht="15.75">
      <c r="A17" s="218">
        <v>2</v>
      </c>
      <c r="B17" s="293" t="s">
        <v>387</v>
      </c>
      <c r="C17" s="244" t="s">
        <v>388</v>
      </c>
      <c r="D17" s="264">
        <v>6</v>
      </c>
      <c r="E17" s="246"/>
    </row>
    <row r="18" spans="1:5" ht="15.75">
      <c r="A18" s="218">
        <v>3</v>
      </c>
      <c r="B18" s="293" t="s">
        <v>389</v>
      </c>
      <c r="C18" s="244" t="s">
        <v>388</v>
      </c>
      <c r="D18" s="264">
        <v>9</v>
      </c>
      <c r="E18" s="246"/>
    </row>
    <row r="19" spans="1:5" ht="15.75">
      <c r="A19" s="218">
        <v>4</v>
      </c>
      <c r="B19" s="293" t="s">
        <v>390</v>
      </c>
      <c r="C19" s="244" t="s">
        <v>388</v>
      </c>
      <c r="D19" s="264">
        <v>130</v>
      </c>
      <c r="E19" s="246"/>
    </row>
    <row r="20" spans="1:5" ht="15.75">
      <c r="A20" s="213" t="s">
        <v>53</v>
      </c>
      <c r="B20" s="292" t="s">
        <v>391</v>
      </c>
      <c r="C20" s="450"/>
      <c r="D20" s="465"/>
      <c r="E20" s="246"/>
    </row>
    <row r="21" spans="1:5" ht="15.75">
      <c r="A21" s="218">
        <v>1</v>
      </c>
      <c r="B21" s="293" t="s">
        <v>392</v>
      </c>
      <c r="C21" s="244" t="s">
        <v>393</v>
      </c>
      <c r="D21" s="264">
        <v>210</v>
      </c>
      <c r="E21" s="246"/>
    </row>
    <row r="22" spans="1:5" ht="15.75">
      <c r="A22" s="213" t="s">
        <v>237</v>
      </c>
      <c r="B22" s="292" t="s">
        <v>394</v>
      </c>
      <c r="C22" s="244"/>
      <c r="D22" s="467"/>
      <c r="E22" s="246"/>
    </row>
    <row r="23" spans="1:5" ht="15.75">
      <c r="A23" s="218">
        <v>1</v>
      </c>
      <c r="B23" s="293" t="s">
        <v>395</v>
      </c>
      <c r="C23" s="244" t="s">
        <v>171</v>
      </c>
      <c r="D23" s="264">
        <v>17</v>
      </c>
      <c r="E23" s="246"/>
    </row>
    <row r="24" spans="1:5" ht="15.75">
      <c r="A24" s="218">
        <v>2</v>
      </c>
      <c r="B24" s="293" t="s">
        <v>396</v>
      </c>
      <c r="C24" s="244" t="s">
        <v>171</v>
      </c>
      <c r="D24" s="468">
        <v>29.2</v>
      </c>
      <c r="E24" s="246"/>
    </row>
    <row r="25" spans="1:5" ht="15.75">
      <c r="A25" s="213" t="s">
        <v>245</v>
      </c>
      <c r="B25" s="292" t="s">
        <v>397</v>
      </c>
      <c r="C25" s="450"/>
      <c r="D25" s="465"/>
      <c r="E25" s="246"/>
    </row>
    <row r="26" spans="1:5" ht="15.75">
      <c r="A26" s="218">
        <v>1</v>
      </c>
      <c r="B26" s="293" t="s">
        <v>398</v>
      </c>
      <c r="C26" s="244" t="s">
        <v>399</v>
      </c>
      <c r="D26" s="264">
        <v>19000</v>
      </c>
      <c r="E26" s="246"/>
    </row>
    <row r="27" spans="1:5" ht="15.75">
      <c r="A27" s="218">
        <v>2</v>
      </c>
      <c r="B27" s="293" t="s">
        <v>400</v>
      </c>
      <c r="C27" s="244" t="s">
        <v>171</v>
      </c>
      <c r="D27" s="264" t="s">
        <v>401</v>
      </c>
      <c r="E27" s="246"/>
    </row>
    <row r="28" spans="1:5" ht="15.75">
      <c r="A28" s="213" t="s">
        <v>253</v>
      </c>
      <c r="B28" s="292" t="s">
        <v>402</v>
      </c>
      <c r="C28" s="469"/>
      <c r="D28" s="465"/>
      <c r="E28" s="466"/>
    </row>
    <row r="29" spans="1:5" ht="15.75">
      <c r="A29" s="218">
        <v>1</v>
      </c>
      <c r="B29" s="293" t="s">
        <v>403</v>
      </c>
      <c r="C29" s="244" t="s">
        <v>357</v>
      </c>
      <c r="D29" s="264">
        <v>2</v>
      </c>
      <c r="E29" s="246"/>
    </row>
    <row r="30" spans="1:5" ht="15.75">
      <c r="A30" s="218">
        <v>2</v>
      </c>
      <c r="B30" s="293" t="s">
        <v>404</v>
      </c>
      <c r="C30" s="244" t="s">
        <v>388</v>
      </c>
      <c r="D30" s="264">
        <v>3000</v>
      </c>
      <c r="E30" s="246"/>
    </row>
    <row r="31" spans="1:5" ht="15.75">
      <c r="A31" s="213" t="s">
        <v>265</v>
      </c>
      <c r="B31" s="292" t="s">
        <v>405</v>
      </c>
      <c r="C31" s="450"/>
      <c r="D31" s="465"/>
      <c r="E31" s="466"/>
    </row>
    <row r="32" spans="1:5" ht="15.75">
      <c r="A32" s="218">
        <v>1</v>
      </c>
      <c r="B32" s="293" t="s">
        <v>406</v>
      </c>
      <c r="C32" s="244" t="s">
        <v>171</v>
      </c>
      <c r="D32" s="264">
        <v>85</v>
      </c>
      <c r="E32" s="246"/>
    </row>
    <row r="33" spans="1:5" ht="47.25">
      <c r="A33" s="218">
        <v>2</v>
      </c>
      <c r="B33" s="293" t="s">
        <v>407</v>
      </c>
      <c r="C33" s="244" t="s">
        <v>408</v>
      </c>
      <c r="D33" s="264">
        <v>6</v>
      </c>
      <c r="E33" s="246"/>
    </row>
    <row r="34" spans="1:5" ht="15.75">
      <c r="A34" s="218">
        <v>3</v>
      </c>
      <c r="B34" s="293" t="s">
        <v>409</v>
      </c>
      <c r="C34" s="244" t="s">
        <v>357</v>
      </c>
      <c r="D34" s="264">
        <v>22</v>
      </c>
      <c r="E34" s="246"/>
    </row>
    <row r="35" spans="1:5" ht="15.75">
      <c r="A35" s="213" t="s">
        <v>272</v>
      </c>
      <c r="B35" s="292" t="s">
        <v>410</v>
      </c>
      <c r="C35" s="450"/>
      <c r="D35" s="465"/>
      <c r="E35" s="466"/>
    </row>
    <row r="36" spans="1:5" ht="15.75">
      <c r="A36" s="218">
        <v>1</v>
      </c>
      <c r="B36" s="293" t="s">
        <v>411</v>
      </c>
      <c r="C36" s="244" t="s">
        <v>412</v>
      </c>
      <c r="D36" s="264">
        <v>17000</v>
      </c>
      <c r="E36" s="246"/>
    </row>
    <row r="37" spans="1:5" ht="15.75">
      <c r="A37" s="218">
        <v>2</v>
      </c>
      <c r="B37" s="293" t="s">
        <v>413</v>
      </c>
      <c r="C37" s="244" t="s">
        <v>171</v>
      </c>
      <c r="D37" s="264">
        <v>75</v>
      </c>
      <c r="E37" s="246"/>
    </row>
    <row r="38" spans="1:5" ht="15.75">
      <c r="A38" s="213" t="s">
        <v>280</v>
      </c>
      <c r="B38" s="292" t="s">
        <v>414</v>
      </c>
      <c r="C38" s="450"/>
      <c r="D38" s="465"/>
      <c r="E38" s="466"/>
    </row>
    <row r="39" spans="1:5" ht="15.75">
      <c r="A39" s="218">
        <v>1</v>
      </c>
      <c r="B39" s="293" t="s">
        <v>415</v>
      </c>
      <c r="C39" s="244" t="s">
        <v>171</v>
      </c>
      <c r="D39" s="264" t="s">
        <v>401</v>
      </c>
      <c r="E39" s="246"/>
    </row>
    <row r="40" spans="1:5" ht="15.75">
      <c r="A40" s="218">
        <v>2</v>
      </c>
      <c r="B40" s="293" t="s">
        <v>416</v>
      </c>
      <c r="C40" s="244" t="s">
        <v>171</v>
      </c>
      <c r="D40" s="264">
        <v>4</v>
      </c>
      <c r="E40" s="246"/>
    </row>
    <row r="41" spans="1:5" ht="15.75">
      <c r="A41" s="213" t="s">
        <v>417</v>
      </c>
      <c r="B41" s="292" t="s">
        <v>418</v>
      </c>
      <c r="C41" s="450"/>
      <c r="D41" s="470"/>
      <c r="E41" s="466"/>
    </row>
    <row r="42" spans="1:5" ht="15.75">
      <c r="A42" s="218">
        <v>1</v>
      </c>
      <c r="B42" s="455" t="s">
        <v>419</v>
      </c>
      <c r="C42" s="244" t="s">
        <v>171</v>
      </c>
      <c r="D42" s="471">
        <v>60</v>
      </c>
      <c r="E42" s="246"/>
    </row>
    <row r="43" spans="1:5" ht="15.75">
      <c r="A43" s="218">
        <v>2</v>
      </c>
      <c r="B43" s="293" t="s">
        <v>420</v>
      </c>
      <c r="C43" s="244" t="s">
        <v>186</v>
      </c>
      <c r="D43" s="472">
        <v>470000</v>
      </c>
      <c r="E43" s="246"/>
    </row>
    <row r="44" spans="1:5" ht="15.75">
      <c r="A44" s="213" t="s">
        <v>421</v>
      </c>
      <c r="B44" s="292" t="s">
        <v>422</v>
      </c>
      <c r="C44" s="450"/>
      <c r="D44" s="465"/>
      <c r="E44" s="466"/>
    </row>
    <row r="45" spans="1:5" ht="15.75">
      <c r="A45" s="218">
        <v>1</v>
      </c>
      <c r="B45" s="293" t="s">
        <v>423</v>
      </c>
      <c r="C45" s="244" t="s">
        <v>357</v>
      </c>
      <c r="D45" s="264">
        <v>111</v>
      </c>
      <c r="E45" s="246"/>
    </row>
    <row r="46" spans="1:5" ht="15.75">
      <c r="A46" s="218"/>
      <c r="B46" s="293" t="s">
        <v>424</v>
      </c>
      <c r="C46" s="244" t="s">
        <v>171</v>
      </c>
      <c r="D46" s="264">
        <v>100</v>
      </c>
      <c r="E46" s="246"/>
    </row>
    <row r="47" spans="1:5" ht="31.5">
      <c r="A47" s="218"/>
      <c r="B47" s="294" t="s">
        <v>425</v>
      </c>
      <c r="C47" s="244" t="s">
        <v>357</v>
      </c>
      <c r="D47" s="264">
        <v>55</v>
      </c>
      <c r="E47" s="246"/>
    </row>
    <row r="48" spans="1:5" ht="15.75">
      <c r="A48" s="218"/>
      <c r="B48" s="295" t="s">
        <v>426</v>
      </c>
      <c r="C48" s="244" t="s">
        <v>171</v>
      </c>
      <c r="D48" s="264">
        <v>50</v>
      </c>
      <c r="E48" s="246"/>
    </row>
    <row r="49" spans="1:5" ht="15.75">
      <c r="A49" s="218">
        <v>2</v>
      </c>
      <c r="B49" s="293" t="s">
        <v>427</v>
      </c>
      <c r="C49" s="244" t="s">
        <v>428</v>
      </c>
      <c r="D49" s="334">
        <v>23</v>
      </c>
      <c r="E49" s="246"/>
    </row>
    <row r="50" spans="1:5" ht="15.75">
      <c r="A50" s="218">
        <v>3</v>
      </c>
      <c r="B50" s="293" t="s">
        <v>429</v>
      </c>
      <c r="C50" s="244" t="s">
        <v>430</v>
      </c>
      <c r="D50" s="336">
        <v>6.5</v>
      </c>
      <c r="E50" s="246"/>
    </row>
    <row r="51" spans="1:5" ht="15.75">
      <c r="A51" s="218">
        <v>4</v>
      </c>
      <c r="B51" s="293" t="s">
        <v>431</v>
      </c>
      <c r="C51" s="244" t="s">
        <v>171</v>
      </c>
      <c r="D51" s="264">
        <v>60</v>
      </c>
      <c r="E51" s="246"/>
    </row>
    <row r="52" spans="1:5" ht="16.5" thickBot="1">
      <c r="A52" s="473"/>
      <c r="B52" s="474"/>
      <c r="C52" s="475"/>
      <c r="D52" s="476"/>
      <c r="E52" s="477"/>
    </row>
  </sheetData>
  <mergeCells count="5">
    <mergeCell ref="A5:E5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1"/>
    </sheetView>
  </sheetViews>
  <sheetFormatPr defaultColWidth="9.33203125" defaultRowHeight="12.75"/>
  <cols>
    <col min="2" max="2" width="58.33203125" style="0" customWidth="1"/>
    <col min="4" max="4" width="13.33203125" style="0" customWidth="1"/>
    <col min="5" max="5" width="17.83203125" style="0" customWidth="1"/>
  </cols>
  <sheetData>
    <row r="1" spans="1:5" ht="18.75">
      <c r="A1" s="552" t="s">
        <v>432</v>
      </c>
      <c r="B1" s="552"/>
      <c r="C1" s="552"/>
      <c r="D1" s="552"/>
      <c r="E1" s="552"/>
    </row>
    <row r="2" spans="1:5" ht="18.75">
      <c r="A2" s="553" t="s">
        <v>107</v>
      </c>
      <c r="B2" s="553"/>
      <c r="C2" s="553"/>
      <c r="D2" s="553"/>
      <c r="E2" s="553"/>
    </row>
    <row r="3" spans="1:5" ht="18.75">
      <c r="A3" s="553"/>
      <c r="B3" s="553"/>
      <c r="C3" s="553"/>
      <c r="D3" s="553"/>
      <c r="E3" s="553"/>
    </row>
    <row r="4" spans="1:5" ht="16.5" thickBot="1">
      <c r="A4" s="296"/>
      <c r="B4" s="296"/>
      <c r="C4" s="297"/>
      <c r="D4" s="296"/>
      <c r="E4" s="296"/>
    </row>
    <row r="5" spans="1:5" ht="15.75">
      <c r="A5" s="298" t="s">
        <v>433</v>
      </c>
      <c r="B5" s="299" t="s">
        <v>167</v>
      </c>
      <c r="C5" s="299" t="s">
        <v>2</v>
      </c>
      <c r="D5" s="299" t="s">
        <v>5</v>
      </c>
      <c r="E5" s="300" t="s">
        <v>149</v>
      </c>
    </row>
    <row r="6" spans="1:5" ht="15.75">
      <c r="A6" s="478">
        <v>1</v>
      </c>
      <c r="B6" s="479">
        <v>2</v>
      </c>
      <c r="C6" s="479">
        <v>3</v>
      </c>
      <c r="D6" s="479">
        <v>4</v>
      </c>
      <c r="E6" s="480">
        <v>5</v>
      </c>
    </row>
    <row r="7" spans="1:5" ht="16.5">
      <c r="A7" s="301">
        <v>1</v>
      </c>
      <c r="B7" s="302" t="s">
        <v>434</v>
      </c>
      <c r="C7" s="303" t="s">
        <v>435</v>
      </c>
      <c r="D7" s="481">
        <v>235839</v>
      </c>
      <c r="E7" s="304"/>
    </row>
    <row r="8" spans="1:5" ht="16.5">
      <c r="A8" s="301">
        <v>2</v>
      </c>
      <c r="B8" s="302" t="s">
        <v>436</v>
      </c>
      <c r="C8" s="305" t="s">
        <v>435</v>
      </c>
      <c r="D8" s="482">
        <v>9198</v>
      </c>
      <c r="E8" s="306"/>
    </row>
    <row r="9" spans="1:5" ht="16.5">
      <c r="A9" s="301">
        <v>3</v>
      </c>
      <c r="B9" s="302" t="s">
        <v>437</v>
      </c>
      <c r="C9" s="305" t="s">
        <v>171</v>
      </c>
      <c r="D9" s="483">
        <v>3.9</v>
      </c>
      <c r="E9" s="307"/>
    </row>
    <row r="10" spans="1:5" ht="16.5">
      <c r="A10" s="301">
        <v>4</v>
      </c>
      <c r="B10" s="302" t="s">
        <v>438</v>
      </c>
      <c r="C10" s="305" t="s">
        <v>435</v>
      </c>
      <c r="D10" s="482">
        <v>3334</v>
      </c>
      <c r="E10" s="307"/>
    </row>
    <row r="11" spans="1:5" ht="16.5">
      <c r="A11" s="301"/>
      <c r="B11" s="308"/>
      <c r="C11" s="309"/>
      <c r="D11" s="310"/>
      <c r="E11" s="311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:G1"/>
    </sheetView>
  </sheetViews>
  <sheetFormatPr defaultColWidth="9.33203125" defaultRowHeight="12.75"/>
  <cols>
    <col min="2" max="2" width="54.16015625" style="0" customWidth="1"/>
    <col min="3" max="3" width="12.33203125" style="0" customWidth="1"/>
    <col min="4" max="4" width="10.83203125" style="0" customWidth="1"/>
    <col min="5" max="5" width="12" style="0" customWidth="1"/>
    <col min="6" max="6" width="11" style="0" customWidth="1"/>
    <col min="7" max="7" width="10.16015625" style="0" customWidth="1"/>
  </cols>
  <sheetData>
    <row r="1" spans="1:7" ht="18.75">
      <c r="A1" s="506" t="s">
        <v>439</v>
      </c>
      <c r="B1" s="506"/>
      <c r="C1" s="506"/>
      <c r="D1" s="506"/>
      <c r="E1" s="506"/>
      <c r="F1" s="506"/>
      <c r="G1" s="506"/>
    </row>
    <row r="2" spans="1:7" ht="18.75">
      <c r="A2" s="506" t="s">
        <v>180</v>
      </c>
      <c r="B2" s="506"/>
      <c r="C2" s="506"/>
      <c r="D2" s="506"/>
      <c r="E2" s="506"/>
      <c r="F2" s="506"/>
      <c r="G2" s="506"/>
    </row>
    <row r="3" spans="1:7" ht="18.75">
      <c r="A3" s="554" t="s">
        <v>107</v>
      </c>
      <c r="B3" s="554"/>
      <c r="C3" s="554"/>
      <c r="D3" s="554"/>
      <c r="E3" s="554"/>
      <c r="F3" s="554"/>
      <c r="G3" s="554"/>
    </row>
    <row r="4" spans="1:7" ht="19.5" thickBot="1">
      <c r="A4" s="484"/>
      <c r="B4" s="484"/>
      <c r="C4" s="484"/>
      <c r="D4" s="484"/>
      <c r="E4" s="484"/>
      <c r="F4" s="484"/>
      <c r="G4" s="484"/>
    </row>
    <row r="5" spans="1:7" ht="15.75">
      <c r="A5" s="555" t="s">
        <v>0</v>
      </c>
      <c r="B5" s="557" t="s">
        <v>440</v>
      </c>
      <c r="C5" s="557" t="s">
        <v>169</v>
      </c>
      <c r="D5" s="557" t="s">
        <v>441</v>
      </c>
      <c r="E5" s="557"/>
      <c r="F5" s="557"/>
      <c r="G5" s="520"/>
    </row>
    <row r="6" spans="1:7" ht="78.75">
      <c r="A6" s="556"/>
      <c r="B6" s="558"/>
      <c r="C6" s="558"/>
      <c r="D6" s="319" t="s">
        <v>442</v>
      </c>
      <c r="E6" s="319" t="s">
        <v>443</v>
      </c>
      <c r="F6" s="319" t="s">
        <v>444</v>
      </c>
      <c r="G6" s="485" t="s">
        <v>445</v>
      </c>
    </row>
    <row r="7" spans="1:7" ht="15.75">
      <c r="A7" s="204">
        <v>1</v>
      </c>
      <c r="B7" s="205">
        <v>2</v>
      </c>
      <c r="C7" s="205">
        <v>3</v>
      </c>
      <c r="D7" s="205">
        <v>4</v>
      </c>
      <c r="E7" s="205">
        <v>5</v>
      </c>
      <c r="F7" s="205">
        <v>6</v>
      </c>
      <c r="G7" s="436">
        <v>7</v>
      </c>
    </row>
    <row r="8" spans="1:7" ht="16.5">
      <c r="A8" s="238"/>
      <c r="B8" s="486" t="s">
        <v>446</v>
      </c>
      <c r="C8" s="487">
        <f>SUM(C9:C20)</f>
        <v>2355</v>
      </c>
      <c r="D8" s="487">
        <f>SUM(D10:D20)</f>
        <v>1610</v>
      </c>
      <c r="E8" s="487">
        <f>SUM(E9:E20)</f>
        <v>150</v>
      </c>
      <c r="F8" s="487">
        <f>SUM(F10:F20)</f>
        <v>40</v>
      </c>
      <c r="G8" s="488">
        <f>SUM(G9:G20)</f>
        <v>555</v>
      </c>
    </row>
    <row r="9" spans="1:7" ht="16.5">
      <c r="A9" s="247">
        <v>1</v>
      </c>
      <c r="B9" s="248" t="s">
        <v>447</v>
      </c>
      <c r="C9" s="312">
        <f aca="true" t="shared" si="0" ref="C9:C20">D9+E9+F9+G9</f>
        <v>110</v>
      </c>
      <c r="D9" s="314"/>
      <c r="E9" s="314">
        <v>70</v>
      </c>
      <c r="F9" s="314"/>
      <c r="G9" s="313">
        <v>40</v>
      </c>
    </row>
    <row r="10" spans="1:7" ht="16.5">
      <c r="A10" s="247">
        <v>2</v>
      </c>
      <c r="B10" s="248" t="s">
        <v>448</v>
      </c>
      <c r="C10" s="312">
        <f t="shared" si="0"/>
        <v>105</v>
      </c>
      <c r="D10" s="314">
        <v>50</v>
      </c>
      <c r="E10" s="314"/>
      <c r="F10" s="314"/>
      <c r="G10" s="313">
        <v>55</v>
      </c>
    </row>
    <row r="11" spans="1:7" ht="16.5">
      <c r="A11" s="247">
        <v>3</v>
      </c>
      <c r="B11" s="248" t="s">
        <v>449</v>
      </c>
      <c r="C11" s="312">
        <f t="shared" si="0"/>
        <v>250</v>
      </c>
      <c r="D11" s="314">
        <v>220</v>
      </c>
      <c r="E11" s="314"/>
      <c r="F11" s="314"/>
      <c r="G11" s="313">
        <v>30</v>
      </c>
    </row>
    <row r="12" spans="1:7" ht="16.5">
      <c r="A12" s="247">
        <v>4</v>
      </c>
      <c r="B12" s="248" t="s">
        <v>450</v>
      </c>
      <c r="C12" s="312">
        <f t="shared" si="0"/>
        <v>145</v>
      </c>
      <c r="D12" s="314">
        <v>100</v>
      </c>
      <c r="E12" s="314"/>
      <c r="F12" s="314"/>
      <c r="G12" s="313">
        <v>45</v>
      </c>
    </row>
    <row r="13" spans="1:7" ht="16.5">
      <c r="A13" s="247">
        <v>5</v>
      </c>
      <c r="B13" s="248" t="s">
        <v>451</v>
      </c>
      <c r="C13" s="312">
        <f t="shared" si="0"/>
        <v>210</v>
      </c>
      <c r="D13" s="314">
        <v>130</v>
      </c>
      <c r="E13" s="314"/>
      <c r="F13" s="314"/>
      <c r="G13" s="313">
        <v>80</v>
      </c>
    </row>
    <row r="14" spans="1:7" ht="16.5">
      <c r="A14" s="247">
        <v>6</v>
      </c>
      <c r="B14" s="248" t="s">
        <v>452</v>
      </c>
      <c r="C14" s="312">
        <f t="shared" si="0"/>
        <v>115</v>
      </c>
      <c r="D14" s="314">
        <v>80</v>
      </c>
      <c r="E14" s="314"/>
      <c r="F14" s="314"/>
      <c r="G14" s="313">
        <v>35</v>
      </c>
    </row>
    <row r="15" spans="1:7" ht="16.5">
      <c r="A15" s="247">
        <v>7</v>
      </c>
      <c r="B15" s="248" t="s">
        <v>453</v>
      </c>
      <c r="C15" s="312">
        <f t="shared" si="0"/>
        <v>225</v>
      </c>
      <c r="D15" s="314">
        <v>180</v>
      </c>
      <c r="E15" s="314"/>
      <c r="F15" s="314">
        <v>10</v>
      </c>
      <c r="G15" s="313">
        <v>35</v>
      </c>
    </row>
    <row r="16" spans="1:7" ht="16.5">
      <c r="A16" s="247">
        <v>8</v>
      </c>
      <c r="B16" s="248" t="s">
        <v>454</v>
      </c>
      <c r="C16" s="312">
        <f t="shared" si="0"/>
        <v>230</v>
      </c>
      <c r="D16" s="314">
        <v>130</v>
      </c>
      <c r="E16" s="314"/>
      <c r="F16" s="314">
        <v>20</v>
      </c>
      <c r="G16" s="313">
        <v>80</v>
      </c>
    </row>
    <row r="17" spans="1:7" ht="16.5">
      <c r="A17" s="247">
        <v>9</v>
      </c>
      <c r="B17" s="248" t="s">
        <v>455</v>
      </c>
      <c r="C17" s="312">
        <f t="shared" si="0"/>
        <v>105</v>
      </c>
      <c r="D17" s="314"/>
      <c r="E17" s="314">
        <v>40</v>
      </c>
      <c r="F17" s="314"/>
      <c r="G17" s="313">
        <v>65</v>
      </c>
    </row>
    <row r="18" spans="1:7" ht="16.5">
      <c r="A18" s="247">
        <v>10</v>
      </c>
      <c r="B18" s="248" t="s">
        <v>456</v>
      </c>
      <c r="C18" s="312">
        <f t="shared" si="0"/>
        <v>140</v>
      </c>
      <c r="D18" s="314"/>
      <c r="E18" s="314">
        <v>40</v>
      </c>
      <c r="F18" s="314">
        <v>10</v>
      </c>
      <c r="G18" s="313">
        <v>90</v>
      </c>
    </row>
    <row r="19" spans="1:7" ht="16.5">
      <c r="A19" s="247">
        <v>11</v>
      </c>
      <c r="B19" s="248" t="s">
        <v>457</v>
      </c>
      <c r="C19" s="312">
        <f t="shared" si="0"/>
        <v>600</v>
      </c>
      <c r="D19" s="314">
        <v>600</v>
      </c>
      <c r="E19" s="314"/>
      <c r="F19" s="314"/>
      <c r="G19" s="313"/>
    </row>
    <row r="20" spans="1:7" ht="16.5">
      <c r="A20" s="247">
        <v>12</v>
      </c>
      <c r="B20" s="248" t="s">
        <v>458</v>
      </c>
      <c r="C20" s="312">
        <f t="shared" si="0"/>
        <v>120</v>
      </c>
      <c r="D20" s="314">
        <v>120</v>
      </c>
      <c r="E20" s="314"/>
      <c r="F20" s="314"/>
      <c r="G20" s="313"/>
    </row>
    <row r="21" spans="1:7" ht="16.5" thickBot="1">
      <c r="A21" s="315"/>
      <c r="B21" s="316"/>
      <c r="C21" s="316"/>
      <c r="D21" s="316"/>
      <c r="E21" s="316"/>
      <c r="F21" s="316"/>
      <c r="G21" s="317"/>
    </row>
  </sheetData>
  <mergeCells count="7">
    <mergeCell ref="A1:G1"/>
    <mergeCell ref="A2:G2"/>
    <mergeCell ref="A3:G3"/>
    <mergeCell ref="A5:A6"/>
    <mergeCell ref="B5:B6"/>
    <mergeCell ref="C5:C6"/>
    <mergeCell ref="D5:G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workbookViewId="0" topLeftCell="A1">
      <selection activeCell="A1" sqref="A1:P1"/>
    </sheetView>
  </sheetViews>
  <sheetFormatPr defaultColWidth="9.33203125" defaultRowHeight="12.75"/>
  <cols>
    <col min="1" max="1" width="5" style="98" customWidth="1"/>
    <col min="2" max="2" width="24.5" style="98" customWidth="1"/>
    <col min="3" max="3" width="6.5" style="98" customWidth="1"/>
    <col min="4" max="4" width="10" style="98" hidden="1" customWidth="1"/>
    <col min="5" max="5" width="10.33203125" style="98" customWidth="1"/>
    <col min="6" max="6" width="10" style="98" customWidth="1"/>
    <col min="7" max="7" width="9.33203125" style="98" customWidth="1"/>
    <col min="8" max="8" width="8.83203125" style="98" customWidth="1"/>
    <col min="9" max="9" width="9" style="98" customWidth="1"/>
    <col min="10" max="10" width="10.33203125" style="98" customWidth="1"/>
    <col min="11" max="11" width="9.33203125" style="98" customWidth="1"/>
    <col min="12" max="12" width="8.83203125" style="98" customWidth="1"/>
    <col min="13" max="13" width="9.33203125" style="98" customWidth="1"/>
    <col min="14" max="15" width="9.16015625" style="98" customWidth="1"/>
    <col min="16" max="16" width="10.83203125" style="106" customWidth="1"/>
    <col min="17" max="16384" width="9.33203125" style="98" customWidth="1"/>
  </cols>
  <sheetData>
    <row r="1" spans="1:16" s="97" customFormat="1" ht="22.5" customHeight="1">
      <c r="A1" s="500" t="s">
        <v>104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</row>
    <row r="2" spans="1:16" s="107" customFormat="1" ht="22.5" customHeight="1" hidden="1">
      <c r="A2" s="504" t="s">
        <v>106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</row>
    <row r="3" spans="1:16" s="107" customFormat="1" ht="22.5" customHeight="1">
      <c r="A3" s="504" t="s">
        <v>107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</row>
    <row r="4" spans="1:16" s="107" customFormat="1" ht="22.5" customHeight="1" hidden="1">
      <c r="A4" s="500" t="s">
        <v>105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</row>
    <row r="5" spans="1:16" ht="14.25" customHeight="1" thickBot="1">
      <c r="A5" s="505"/>
      <c r="B5" s="50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.75" customHeight="1">
      <c r="A6" s="501" t="s">
        <v>0</v>
      </c>
      <c r="B6" s="498" t="s">
        <v>1</v>
      </c>
      <c r="C6" s="498" t="s">
        <v>2</v>
      </c>
      <c r="D6" s="496" t="s">
        <v>3</v>
      </c>
      <c r="E6" s="496" t="s">
        <v>4</v>
      </c>
      <c r="F6" s="496" t="s">
        <v>5</v>
      </c>
      <c r="G6" s="498" t="s">
        <v>6</v>
      </c>
      <c r="H6" s="498"/>
      <c r="I6" s="498"/>
      <c r="J6" s="498"/>
      <c r="K6" s="498"/>
      <c r="L6" s="498"/>
      <c r="M6" s="498"/>
      <c r="N6" s="498"/>
      <c r="O6" s="498"/>
      <c r="P6" s="499"/>
    </row>
    <row r="7" spans="1:16" ht="24" customHeight="1">
      <c r="A7" s="502"/>
      <c r="B7" s="503"/>
      <c r="C7" s="503"/>
      <c r="D7" s="497"/>
      <c r="E7" s="497"/>
      <c r="F7" s="497"/>
      <c r="G7" s="1" t="s">
        <v>7</v>
      </c>
      <c r="H7" s="1" t="s">
        <v>8</v>
      </c>
      <c r="I7" s="1" t="s">
        <v>9</v>
      </c>
      <c r="J7" s="2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62" t="s">
        <v>16</v>
      </c>
    </row>
    <row r="8" spans="1:16" ht="12.75">
      <c r="A8" s="163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4">
        <v>10</v>
      </c>
      <c r="K8" s="164">
        <v>11</v>
      </c>
      <c r="L8" s="164">
        <v>12</v>
      </c>
      <c r="M8" s="164">
        <v>13</v>
      </c>
      <c r="N8" s="164">
        <v>14</v>
      </c>
      <c r="O8" s="164">
        <v>15</v>
      </c>
      <c r="P8" s="165">
        <v>16</v>
      </c>
    </row>
    <row r="9" spans="1:16" s="99" customFormat="1" ht="12.75">
      <c r="A9" s="108"/>
      <c r="B9" s="109" t="s">
        <v>17</v>
      </c>
      <c r="C9" s="110"/>
      <c r="D9" s="111">
        <v>439174</v>
      </c>
      <c r="E9" s="111">
        <f>E11+E62</f>
        <v>439394</v>
      </c>
      <c r="F9" s="111">
        <f>SUM(G9:P9)</f>
        <v>444129.37444444455</v>
      </c>
      <c r="G9" s="111">
        <f aca="true" t="shared" si="0" ref="G9:P9">SUM(G11+G62)</f>
        <v>8213.6</v>
      </c>
      <c r="H9" s="111">
        <f t="shared" si="0"/>
        <v>11680</v>
      </c>
      <c r="I9" s="111">
        <f t="shared" si="0"/>
        <v>11073.869999999999</v>
      </c>
      <c r="J9" s="111">
        <f t="shared" si="0"/>
        <v>89716.97444444445</v>
      </c>
      <c r="K9" s="111">
        <f t="shared" si="0"/>
        <v>53998.549999999996</v>
      </c>
      <c r="L9" s="111">
        <f t="shared" si="0"/>
        <v>24049</v>
      </c>
      <c r="M9" s="111">
        <f t="shared" si="0"/>
        <v>52779.82000000001</v>
      </c>
      <c r="N9" s="111">
        <f t="shared" si="0"/>
        <v>59095</v>
      </c>
      <c r="O9" s="111">
        <f t="shared" si="0"/>
        <v>105012.16000000002</v>
      </c>
      <c r="P9" s="112">
        <f t="shared" si="0"/>
        <v>28510.399999999998</v>
      </c>
    </row>
    <row r="10" spans="1:16" ht="12.75" hidden="1">
      <c r="A10" s="113"/>
      <c r="B10" s="3" t="s">
        <v>18</v>
      </c>
      <c r="C10" s="4"/>
      <c r="D10" s="5">
        <v>439174</v>
      </c>
      <c r="E10" s="5">
        <v>439174</v>
      </c>
      <c r="F10" s="5"/>
      <c r="G10" s="5">
        <v>8568</v>
      </c>
      <c r="H10" s="5">
        <v>10236</v>
      </c>
      <c r="I10" s="5">
        <v>10415</v>
      </c>
      <c r="J10" s="5">
        <v>96209</v>
      </c>
      <c r="K10" s="5">
        <v>51394</v>
      </c>
      <c r="L10" s="5">
        <v>18017</v>
      </c>
      <c r="M10" s="5">
        <v>49119</v>
      </c>
      <c r="N10" s="5">
        <v>59666</v>
      </c>
      <c r="O10" s="5">
        <v>106843</v>
      </c>
      <c r="P10" s="114">
        <v>28707</v>
      </c>
    </row>
    <row r="11" spans="1:16" s="99" customFormat="1" ht="12.75">
      <c r="A11" s="115" t="s">
        <v>19</v>
      </c>
      <c r="B11" s="7" t="s">
        <v>20</v>
      </c>
      <c r="C11" s="6" t="s">
        <v>21</v>
      </c>
      <c r="D11" s="8">
        <f>SUM(D13+D36+D43+D59)</f>
        <v>48245</v>
      </c>
      <c r="E11" s="8">
        <f>E13+E36+E43+E59</f>
        <v>48220</v>
      </c>
      <c r="F11" s="8">
        <f>F13+F36+F43+F59</f>
        <v>46060.8</v>
      </c>
      <c r="G11" s="8">
        <f aca="true" t="shared" si="1" ref="G11:P11">SUM(G13+G36+G43+G59)</f>
        <v>363</v>
      </c>
      <c r="H11" s="8">
        <f t="shared" si="1"/>
        <v>705</v>
      </c>
      <c r="I11" s="8">
        <f t="shared" si="1"/>
        <v>1815</v>
      </c>
      <c r="J11" s="8">
        <f t="shared" si="1"/>
        <v>4639.8</v>
      </c>
      <c r="K11" s="8">
        <f t="shared" si="1"/>
        <v>11475</v>
      </c>
      <c r="L11" s="8">
        <f t="shared" si="1"/>
        <v>6647</v>
      </c>
      <c r="M11" s="8">
        <f t="shared" si="1"/>
        <v>3493</v>
      </c>
      <c r="N11" s="8">
        <f t="shared" si="1"/>
        <v>7149</v>
      </c>
      <c r="O11" s="8">
        <f t="shared" si="1"/>
        <v>8973</v>
      </c>
      <c r="P11" s="116">
        <f t="shared" si="1"/>
        <v>801</v>
      </c>
    </row>
    <row r="12" spans="1:16" ht="12.75">
      <c r="A12" s="117"/>
      <c r="B12" s="9" t="s">
        <v>22</v>
      </c>
      <c r="C12" s="10" t="s">
        <v>23</v>
      </c>
      <c r="D12" s="11">
        <f aca="true" t="shared" si="2" ref="D12:P12">D16+D25</f>
        <v>62138.84</v>
      </c>
      <c r="E12" s="11">
        <f>E16+E25</f>
        <v>65467</v>
      </c>
      <c r="F12" s="11">
        <f t="shared" si="2"/>
        <v>65769.19200000001</v>
      </c>
      <c r="G12" s="11">
        <f t="shared" si="2"/>
        <v>546.803</v>
      </c>
      <c r="H12" s="11">
        <f t="shared" si="2"/>
        <v>253.6</v>
      </c>
      <c r="I12" s="11">
        <f t="shared" si="2"/>
        <v>2882.999999999999</v>
      </c>
      <c r="J12" s="11">
        <f t="shared" si="2"/>
        <v>6120.289000000001</v>
      </c>
      <c r="K12" s="11">
        <f t="shared" si="2"/>
        <v>26437.20000000001</v>
      </c>
      <c r="L12" s="11">
        <f t="shared" si="2"/>
        <v>8024.3</v>
      </c>
      <c r="M12" s="11">
        <f t="shared" si="2"/>
        <v>6082</v>
      </c>
      <c r="N12" s="11">
        <f t="shared" si="2"/>
        <v>5975</v>
      </c>
      <c r="O12" s="11">
        <f t="shared" si="2"/>
        <v>9111</v>
      </c>
      <c r="P12" s="118">
        <f t="shared" si="2"/>
        <v>336</v>
      </c>
    </row>
    <row r="13" spans="1:16" s="99" customFormat="1" ht="12.75">
      <c r="A13" s="115" t="s">
        <v>24</v>
      </c>
      <c r="B13" s="7" t="s">
        <v>25</v>
      </c>
      <c r="C13" s="6" t="s">
        <v>21</v>
      </c>
      <c r="D13" s="12">
        <v>42116</v>
      </c>
      <c r="E13" s="12">
        <f>E14+E26</f>
        <v>42296</v>
      </c>
      <c r="F13" s="12">
        <f>F14+F26</f>
        <v>40136.8</v>
      </c>
      <c r="G13" s="12">
        <f aca="true" t="shared" si="3" ref="G13:P13">SUM(G14+G26)</f>
        <v>316</v>
      </c>
      <c r="H13" s="12">
        <f t="shared" si="3"/>
        <v>500</v>
      </c>
      <c r="I13" s="12">
        <f t="shared" si="3"/>
        <v>1431</v>
      </c>
      <c r="J13" s="12">
        <f t="shared" si="3"/>
        <v>4450.8</v>
      </c>
      <c r="K13" s="12">
        <f t="shared" si="3"/>
        <v>10522</v>
      </c>
      <c r="L13" s="12">
        <f t="shared" si="3"/>
        <v>4877</v>
      </c>
      <c r="M13" s="12">
        <f t="shared" si="3"/>
        <v>3235</v>
      </c>
      <c r="N13" s="12">
        <f t="shared" si="3"/>
        <v>5672</v>
      </c>
      <c r="O13" s="12">
        <f t="shared" si="3"/>
        <v>8424</v>
      </c>
      <c r="P13" s="119">
        <f t="shared" si="3"/>
        <v>709</v>
      </c>
    </row>
    <row r="14" spans="1:16" s="100" customFormat="1" ht="15.75">
      <c r="A14" s="117" t="s">
        <v>26</v>
      </c>
      <c r="B14" s="9" t="s">
        <v>27</v>
      </c>
      <c r="C14" s="10" t="s">
        <v>21</v>
      </c>
      <c r="D14" s="36">
        <v>18814</v>
      </c>
      <c r="E14" s="36">
        <f>E15+E23</f>
        <v>20104</v>
      </c>
      <c r="F14" s="36">
        <f>SUM(G14:P14)</f>
        <v>20104</v>
      </c>
      <c r="G14" s="36">
        <f>G17+G20+G23</f>
        <v>170</v>
      </c>
      <c r="H14" s="36">
        <f aca="true" t="shared" si="4" ref="H14:P14">H17+H20+H23</f>
        <v>82</v>
      </c>
      <c r="I14" s="36">
        <f t="shared" si="4"/>
        <v>897</v>
      </c>
      <c r="J14" s="36">
        <f t="shared" si="4"/>
        <v>1771</v>
      </c>
      <c r="K14" s="36">
        <f t="shared" si="4"/>
        <v>7903</v>
      </c>
      <c r="L14" s="36">
        <f t="shared" si="4"/>
        <v>2765</v>
      </c>
      <c r="M14" s="36">
        <f t="shared" si="4"/>
        <v>1939</v>
      </c>
      <c r="N14" s="36">
        <f t="shared" si="4"/>
        <v>1640</v>
      </c>
      <c r="O14" s="36">
        <f t="shared" si="4"/>
        <v>2831</v>
      </c>
      <c r="P14" s="120">
        <f t="shared" si="4"/>
        <v>106</v>
      </c>
    </row>
    <row r="15" spans="1:16" s="100" customFormat="1" ht="15.75">
      <c r="A15" s="121"/>
      <c r="B15" s="23" t="s">
        <v>28</v>
      </c>
      <c r="C15" s="24" t="s">
        <v>21</v>
      </c>
      <c r="D15" s="53">
        <f aca="true" t="shared" si="5" ref="D15:P15">SUM(D17+D20)</f>
        <v>13380</v>
      </c>
      <c r="E15" s="53">
        <f>E17+E20</f>
        <v>14570</v>
      </c>
      <c r="F15" s="53">
        <f t="shared" si="5"/>
        <v>14570</v>
      </c>
      <c r="G15" s="53">
        <f t="shared" si="5"/>
        <v>149</v>
      </c>
      <c r="H15" s="53">
        <f t="shared" si="5"/>
        <v>40</v>
      </c>
      <c r="I15" s="53">
        <f t="shared" si="5"/>
        <v>587</v>
      </c>
      <c r="J15" s="54">
        <f t="shared" si="5"/>
        <v>1604</v>
      </c>
      <c r="K15" s="54">
        <f t="shared" si="5"/>
        <v>5297</v>
      </c>
      <c r="L15" s="54">
        <f t="shared" si="5"/>
        <v>2215</v>
      </c>
      <c r="M15" s="54">
        <f t="shared" si="5"/>
        <v>1598</v>
      </c>
      <c r="N15" s="54">
        <f t="shared" si="5"/>
        <v>553</v>
      </c>
      <c r="O15" s="54">
        <f t="shared" si="5"/>
        <v>2436</v>
      </c>
      <c r="P15" s="122">
        <f t="shared" si="5"/>
        <v>91</v>
      </c>
    </row>
    <row r="16" spans="1:16" s="100" customFormat="1" ht="15.75">
      <c r="A16" s="121"/>
      <c r="B16" s="23" t="s">
        <v>29</v>
      </c>
      <c r="C16" s="24" t="s">
        <v>23</v>
      </c>
      <c r="D16" s="53">
        <f aca="true" t="shared" si="6" ref="D16:P16">SUM(D19+D22)</f>
        <v>45206.07</v>
      </c>
      <c r="E16" s="53">
        <f>E19+E22</f>
        <v>46877</v>
      </c>
      <c r="F16" s="53">
        <f t="shared" si="6"/>
        <v>47057.49200000001</v>
      </c>
      <c r="G16" s="53">
        <f t="shared" si="6"/>
        <v>483.803</v>
      </c>
      <c r="H16" s="53">
        <f t="shared" si="6"/>
        <v>115</v>
      </c>
      <c r="I16" s="53">
        <f t="shared" si="6"/>
        <v>1859</v>
      </c>
      <c r="J16" s="54">
        <f t="shared" si="6"/>
        <v>5569.189</v>
      </c>
      <c r="K16" s="54">
        <f t="shared" si="6"/>
        <v>17912.20000000001</v>
      </c>
      <c r="L16" s="54">
        <f t="shared" si="6"/>
        <v>6401.3</v>
      </c>
      <c r="M16" s="54">
        <f t="shared" si="6"/>
        <v>4930</v>
      </c>
      <c r="N16" s="54">
        <f t="shared" si="6"/>
        <v>1624</v>
      </c>
      <c r="O16" s="54">
        <f t="shared" si="6"/>
        <v>7889</v>
      </c>
      <c r="P16" s="122">
        <f t="shared" si="6"/>
        <v>274</v>
      </c>
    </row>
    <row r="17" spans="1:16" s="99" customFormat="1" ht="12.75">
      <c r="A17" s="123">
        <v>1</v>
      </c>
      <c r="B17" s="67" t="s">
        <v>30</v>
      </c>
      <c r="C17" s="13" t="s">
        <v>21</v>
      </c>
      <c r="D17" s="15">
        <v>12623</v>
      </c>
      <c r="E17" s="15">
        <v>13677</v>
      </c>
      <c r="F17" s="14">
        <f>SUM(G17:P17)</f>
        <v>13677</v>
      </c>
      <c r="G17" s="16">
        <v>149</v>
      </c>
      <c r="H17" s="16">
        <v>40</v>
      </c>
      <c r="I17" s="16">
        <v>587</v>
      </c>
      <c r="J17" s="16">
        <v>1521</v>
      </c>
      <c r="K17" s="16">
        <v>4491</v>
      </c>
      <c r="L17" s="17">
        <v>2214</v>
      </c>
      <c r="M17" s="16">
        <v>1598</v>
      </c>
      <c r="N17" s="16">
        <v>553</v>
      </c>
      <c r="O17" s="16">
        <v>2433</v>
      </c>
      <c r="P17" s="124">
        <v>91</v>
      </c>
    </row>
    <row r="18" spans="1:16" ht="12.75">
      <c r="A18" s="125"/>
      <c r="B18" s="18" t="s">
        <v>31</v>
      </c>
      <c r="C18" s="19" t="s">
        <v>32</v>
      </c>
      <c r="D18" s="20">
        <v>34.11524201853759</v>
      </c>
      <c r="E18" s="21">
        <v>32.68</v>
      </c>
      <c r="F18" s="31">
        <f>F19/F17*10</f>
        <v>32.81216056152666</v>
      </c>
      <c r="G18" s="22">
        <v>32.47</v>
      </c>
      <c r="H18" s="22">
        <v>28.75</v>
      </c>
      <c r="I18" s="22">
        <v>31.669505962521292</v>
      </c>
      <c r="J18" s="22">
        <v>35.09</v>
      </c>
      <c r="K18" s="22">
        <v>35.5671342685371</v>
      </c>
      <c r="L18" s="22">
        <v>28.902439024390244</v>
      </c>
      <c r="M18" s="22">
        <v>30.851063829787236</v>
      </c>
      <c r="N18" s="22">
        <v>29.367088607594937</v>
      </c>
      <c r="O18" s="22">
        <v>32.396218660090426</v>
      </c>
      <c r="P18" s="126">
        <v>30.10989010989011</v>
      </c>
    </row>
    <row r="19" spans="1:16" ht="12.75">
      <c r="A19" s="121"/>
      <c r="B19" s="23" t="s">
        <v>29</v>
      </c>
      <c r="C19" s="24" t="s">
        <v>23</v>
      </c>
      <c r="D19" s="25">
        <f aca="true" t="shared" si="7" ref="D19:P19">D18*D17/10</f>
        <v>43063.67</v>
      </c>
      <c r="E19" s="25">
        <v>44697</v>
      </c>
      <c r="F19" s="25">
        <f>SUM(G19:P19)</f>
        <v>44877.19200000001</v>
      </c>
      <c r="G19" s="25">
        <f t="shared" si="7"/>
        <v>483.803</v>
      </c>
      <c r="H19" s="25">
        <f t="shared" si="7"/>
        <v>115</v>
      </c>
      <c r="I19" s="25">
        <f t="shared" si="7"/>
        <v>1859</v>
      </c>
      <c r="J19" s="25">
        <f t="shared" si="7"/>
        <v>5337.189</v>
      </c>
      <c r="K19" s="25">
        <f t="shared" si="7"/>
        <v>15973.200000000012</v>
      </c>
      <c r="L19" s="25">
        <f t="shared" si="7"/>
        <v>6399</v>
      </c>
      <c r="M19" s="25">
        <f t="shared" si="7"/>
        <v>4930</v>
      </c>
      <c r="N19" s="25">
        <f t="shared" si="7"/>
        <v>1624</v>
      </c>
      <c r="O19" s="25">
        <f t="shared" si="7"/>
        <v>7882</v>
      </c>
      <c r="P19" s="127">
        <f t="shared" si="7"/>
        <v>274</v>
      </c>
    </row>
    <row r="20" spans="1:16" s="99" customFormat="1" ht="12.75">
      <c r="A20" s="123">
        <v>2</v>
      </c>
      <c r="B20" s="67" t="s">
        <v>33</v>
      </c>
      <c r="C20" s="13" t="s">
        <v>21</v>
      </c>
      <c r="D20" s="15">
        <v>757</v>
      </c>
      <c r="E20" s="15">
        <v>893</v>
      </c>
      <c r="F20" s="14">
        <f>SUM(G20:P20)</f>
        <v>893</v>
      </c>
      <c r="G20" s="16">
        <v>0</v>
      </c>
      <c r="H20" s="16">
        <v>0</v>
      </c>
      <c r="I20" s="16">
        <v>0</v>
      </c>
      <c r="J20" s="16">
        <v>83</v>
      </c>
      <c r="K20" s="16">
        <v>806</v>
      </c>
      <c r="L20" s="17">
        <v>1</v>
      </c>
      <c r="M20" s="16">
        <v>0</v>
      </c>
      <c r="N20" s="16">
        <v>0</v>
      </c>
      <c r="O20" s="16">
        <v>3</v>
      </c>
      <c r="P20" s="124">
        <v>0</v>
      </c>
    </row>
    <row r="21" spans="1:16" ht="12.75">
      <c r="A21" s="125"/>
      <c r="B21" s="18" t="s">
        <v>34</v>
      </c>
      <c r="C21" s="19" t="s">
        <v>35</v>
      </c>
      <c r="D21" s="20">
        <v>28.30118890356671</v>
      </c>
      <c r="E21" s="20">
        <v>24.4</v>
      </c>
      <c r="F21" s="31">
        <f>F22/F20*10</f>
        <v>24.41545352743561</v>
      </c>
      <c r="G21" s="26"/>
      <c r="H21" s="26"/>
      <c r="I21" s="26"/>
      <c r="J21" s="27">
        <v>27.951807228915662</v>
      </c>
      <c r="K21" s="27">
        <v>24.05707196029777</v>
      </c>
      <c r="L21" s="28">
        <v>23</v>
      </c>
      <c r="M21" s="27"/>
      <c r="N21" s="27"/>
      <c r="O21" s="27">
        <v>23.333333333333336</v>
      </c>
      <c r="P21" s="128"/>
    </row>
    <row r="22" spans="1:16" ht="12.75">
      <c r="A22" s="121"/>
      <c r="B22" s="23" t="s">
        <v>29</v>
      </c>
      <c r="C22" s="24" t="s">
        <v>23</v>
      </c>
      <c r="D22" s="30">
        <f aca="true" t="shared" si="8" ref="D22:P22">D21*D20/10</f>
        <v>2142.4</v>
      </c>
      <c r="E22" s="30">
        <v>2180</v>
      </c>
      <c r="F22" s="25">
        <f>SUM(G22:P22)</f>
        <v>2180.3</v>
      </c>
      <c r="G22" s="30">
        <f t="shared" si="8"/>
        <v>0</v>
      </c>
      <c r="H22" s="30">
        <f t="shared" si="8"/>
        <v>0</v>
      </c>
      <c r="I22" s="30">
        <f t="shared" si="8"/>
        <v>0</v>
      </c>
      <c r="J22" s="30">
        <f t="shared" si="8"/>
        <v>232</v>
      </c>
      <c r="K22" s="30">
        <f t="shared" si="8"/>
        <v>1939</v>
      </c>
      <c r="L22" s="30">
        <f t="shared" si="8"/>
        <v>2.3</v>
      </c>
      <c r="M22" s="30">
        <f t="shared" si="8"/>
        <v>0</v>
      </c>
      <c r="N22" s="30">
        <f t="shared" si="8"/>
        <v>0</v>
      </c>
      <c r="O22" s="30">
        <f t="shared" si="8"/>
        <v>7</v>
      </c>
      <c r="P22" s="129">
        <f t="shared" si="8"/>
        <v>0</v>
      </c>
    </row>
    <row r="23" spans="1:16" s="99" customFormat="1" ht="12.75">
      <c r="A23" s="123">
        <v>3</v>
      </c>
      <c r="B23" s="67" t="s">
        <v>36</v>
      </c>
      <c r="C23" s="13" t="s">
        <v>21</v>
      </c>
      <c r="D23" s="15">
        <v>5434</v>
      </c>
      <c r="E23" s="15">
        <v>5534</v>
      </c>
      <c r="F23" s="14">
        <f>SUM(G23:P23)</f>
        <v>5534</v>
      </c>
      <c r="G23" s="16">
        <v>21</v>
      </c>
      <c r="H23" s="16">
        <v>42</v>
      </c>
      <c r="I23" s="16">
        <v>310</v>
      </c>
      <c r="J23" s="16">
        <v>167</v>
      </c>
      <c r="K23" s="16">
        <v>2606</v>
      </c>
      <c r="L23" s="17">
        <v>550</v>
      </c>
      <c r="M23" s="16">
        <v>341</v>
      </c>
      <c r="N23" s="16">
        <v>1087</v>
      </c>
      <c r="O23" s="16">
        <v>395</v>
      </c>
      <c r="P23" s="124">
        <v>15</v>
      </c>
    </row>
    <row r="24" spans="1:16" ht="12.75">
      <c r="A24" s="125"/>
      <c r="B24" s="18" t="s">
        <v>34</v>
      </c>
      <c r="C24" s="19" t="s">
        <v>35</v>
      </c>
      <c r="D24" s="31">
        <v>31.160783952889215</v>
      </c>
      <c r="E24" s="31">
        <v>33.6</v>
      </c>
      <c r="F24" s="31">
        <f>F25/F23*10</f>
        <v>33.81225153595952</v>
      </c>
      <c r="G24" s="16">
        <v>30</v>
      </c>
      <c r="H24" s="16">
        <v>33</v>
      </c>
      <c r="I24" s="16">
        <v>33.0322580645161</v>
      </c>
      <c r="J24" s="16">
        <v>33</v>
      </c>
      <c r="K24" s="16">
        <v>32.712970069071375</v>
      </c>
      <c r="L24" s="17">
        <v>29.509090909090908</v>
      </c>
      <c r="M24" s="16">
        <v>33.78299120234604</v>
      </c>
      <c r="N24" s="16">
        <v>40.02759889604416</v>
      </c>
      <c r="O24" s="16">
        <v>30.936708860759495</v>
      </c>
      <c r="P24" s="124">
        <v>41.333333333333336</v>
      </c>
    </row>
    <row r="25" spans="1:16" ht="12.75">
      <c r="A25" s="125"/>
      <c r="B25" s="32" t="s">
        <v>29</v>
      </c>
      <c r="C25" s="33" t="s">
        <v>23</v>
      </c>
      <c r="D25" s="25">
        <f aca="true" t="shared" si="9" ref="D25:P25">D24*D23/10</f>
        <v>16932.769999999997</v>
      </c>
      <c r="E25" s="25">
        <v>18590</v>
      </c>
      <c r="F25" s="25">
        <f>SUM(G25:P25)</f>
        <v>18711.699999999997</v>
      </c>
      <c r="G25" s="25">
        <f t="shared" si="9"/>
        <v>63</v>
      </c>
      <c r="H25" s="25">
        <f t="shared" si="9"/>
        <v>138.6</v>
      </c>
      <c r="I25" s="25">
        <f t="shared" si="9"/>
        <v>1023.9999999999991</v>
      </c>
      <c r="J25" s="25">
        <f t="shared" si="9"/>
        <v>551.1</v>
      </c>
      <c r="K25" s="25">
        <f t="shared" si="9"/>
        <v>8525</v>
      </c>
      <c r="L25" s="25">
        <f t="shared" si="9"/>
        <v>1623</v>
      </c>
      <c r="M25" s="25">
        <f t="shared" si="9"/>
        <v>1152</v>
      </c>
      <c r="N25" s="25">
        <f t="shared" si="9"/>
        <v>4351</v>
      </c>
      <c r="O25" s="25">
        <f t="shared" si="9"/>
        <v>1222</v>
      </c>
      <c r="P25" s="127">
        <f t="shared" si="9"/>
        <v>62</v>
      </c>
    </row>
    <row r="26" spans="1:16" ht="13.5">
      <c r="A26" s="117" t="s">
        <v>37</v>
      </c>
      <c r="B26" s="34" t="s">
        <v>38</v>
      </c>
      <c r="C26" s="35" t="s">
        <v>21</v>
      </c>
      <c r="D26" s="36">
        <v>23302</v>
      </c>
      <c r="E26" s="36">
        <f>E27+E30+E33</f>
        <v>22192</v>
      </c>
      <c r="F26" s="36">
        <f aca="true" t="shared" si="10" ref="F26:P26">SUM(F30+F27+F33)</f>
        <v>20032.8</v>
      </c>
      <c r="G26" s="36">
        <f t="shared" si="10"/>
        <v>146</v>
      </c>
      <c r="H26" s="36">
        <f t="shared" si="10"/>
        <v>418</v>
      </c>
      <c r="I26" s="36">
        <f t="shared" si="10"/>
        <v>534</v>
      </c>
      <c r="J26" s="36">
        <f t="shared" si="10"/>
        <v>2679.8</v>
      </c>
      <c r="K26" s="36">
        <f t="shared" si="10"/>
        <v>2619</v>
      </c>
      <c r="L26" s="36">
        <f t="shared" si="10"/>
        <v>2112</v>
      </c>
      <c r="M26" s="36">
        <f t="shared" si="10"/>
        <v>1296</v>
      </c>
      <c r="N26" s="36">
        <f t="shared" si="10"/>
        <v>4032</v>
      </c>
      <c r="O26" s="36">
        <f t="shared" si="10"/>
        <v>5593</v>
      </c>
      <c r="P26" s="130">
        <f t="shared" si="10"/>
        <v>603</v>
      </c>
    </row>
    <row r="27" spans="1:16" s="99" customFormat="1" ht="12.75">
      <c r="A27" s="123">
        <v>1</v>
      </c>
      <c r="B27" s="67" t="s">
        <v>39</v>
      </c>
      <c r="C27" s="13" t="s">
        <v>21</v>
      </c>
      <c r="D27" s="15">
        <v>21563</v>
      </c>
      <c r="E27" s="15">
        <v>20761</v>
      </c>
      <c r="F27" s="14">
        <f>SUM(G27:P27)</f>
        <v>18602</v>
      </c>
      <c r="G27" s="16">
        <v>27</v>
      </c>
      <c r="H27" s="16">
        <v>410</v>
      </c>
      <c r="I27" s="16">
        <v>523</v>
      </c>
      <c r="J27" s="16">
        <v>2667</v>
      </c>
      <c r="K27" s="16">
        <v>2585</v>
      </c>
      <c r="L27" s="17">
        <v>1927</v>
      </c>
      <c r="M27" s="16">
        <v>1211</v>
      </c>
      <c r="N27" s="16">
        <v>3652</v>
      </c>
      <c r="O27" s="16">
        <v>5012</v>
      </c>
      <c r="P27" s="124">
        <v>588</v>
      </c>
    </row>
    <row r="28" spans="1:16" ht="12.75">
      <c r="A28" s="125"/>
      <c r="B28" s="18" t="s">
        <v>34</v>
      </c>
      <c r="C28" s="19" t="s">
        <v>35</v>
      </c>
      <c r="D28" s="20">
        <v>227.88217363075637</v>
      </c>
      <c r="E28" s="20">
        <v>228.2</v>
      </c>
      <c r="F28" s="31">
        <f>F29/F27*10</f>
        <v>231.2054386625094</v>
      </c>
      <c r="G28" s="26">
        <v>223</v>
      </c>
      <c r="H28" s="26">
        <v>251.03</v>
      </c>
      <c r="I28" s="26">
        <v>210.04</v>
      </c>
      <c r="J28" s="26">
        <v>222.46</v>
      </c>
      <c r="K28" s="26">
        <v>236.07</v>
      </c>
      <c r="L28" s="37">
        <v>240.24</v>
      </c>
      <c r="M28" s="26">
        <v>233.86</v>
      </c>
      <c r="N28" s="26">
        <v>238.06</v>
      </c>
      <c r="O28" s="26">
        <v>228.21</v>
      </c>
      <c r="P28" s="128">
        <v>202.75</v>
      </c>
    </row>
    <row r="29" spans="1:16" ht="12.75">
      <c r="A29" s="125"/>
      <c r="B29" s="32" t="s">
        <v>29</v>
      </c>
      <c r="C29" s="33" t="s">
        <v>23</v>
      </c>
      <c r="D29" s="25">
        <f aca="true" t="shared" si="11" ref="D29:P29">D28*D27/10</f>
        <v>491382.33099999995</v>
      </c>
      <c r="E29" s="25">
        <v>473832</v>
      </c>
      <c r="F29" s="25">
        <f>SUM(G29:P29)</f>
        <v>430088.357</v>
      </c>
      <c r="G29" s="25">
        <f t="shared" si="11"/>
        <v>602.1</v>
      </c>
      <c r="H29" s="25">
        <f t="shared" si="11"/>
        <v>10292.23</v>
      </c>
      <c r="I29" s="25">
        <f t="shared" si="11"/>
        <v>10985.092</v>
      </c>
      <c r="J29" s="25">
        <f t="shared" si="11"/>
        <v>59330.08200000001</v>
      </c>
      <c r="K29" s="25">
        <f t="shared" si="11"/>
        <v>61024.094999999994</v>
      </c>
      <c r="L29" s="25">
        <f t="shared" si="11"/>
        <v>46294.24800000001</v>
      </c>
      <c r="M29" s="25">
        <f t="shared" si="11"/>
        <v>28320.446000000004</v>
      </c>
      <c r="N29" s="25">
        <f t="shared" si="11"/>
        <v>86939.512</v>
      </c>
      <c r="O29" s="25">
        <f t="shared" si="11"/>
        <v>114378.852</v>
      </c>
      <c r="P29" s="127">
        <f t="shared" si="11"/>
        <v>11921.7</v>
      </c>
    </row>
    <row r="30" spans="1:16" s="99" customFormat="1" ht="12.75">
      <c r="A30" s="123">
        <v>2</v>
      </c>
      <c r="B30" s="67" t="s">
        <v>40</v>
      </c>
      <c r="C30" s="13" t="s">
        <v>21</v>
      </c>
      <c r="D30" s="15">
        <v>610</v>
      </c>
      <c r="E30" s="15">
        <v>501</v>
      </c>
      <c r="F30" s="14">
        <f>SUM(G30:P30)</f>
        <v>500.8</v>
      </c>
      <c r="G30" s="16">
        <v>0</v>
      </c>
      <c r="H30" s="16">
        <v>8</v>
      </c>
      <c r="I30" s="16">
        <v>3</v>
      </c>
      <c r="J30" s="38">
        <v>6.8</v>
      </c>
      <c r="K30" s="38">
        <v>34</v>
      </c>
      <c r="L30" s="39">
        <v>40</v>
      </c>
      <c r="M30" s="38">
        <v>13</v>
      </c>
      <c r="N30" s="38">
        <v>380</v>
      </c>
      <c r="O30" s="38">
        <v>16</v>
      </c>
      <c r="P30" s="131">
        <v>0</v>
      </c>
    </row>
    <row r="31" spans="1:16" ht="12.75">
      <c r="A31" s="125"/>
      <c r="B31" s="18" t="s">
        <v>34</v>
      </c>
      <c r="C31" s="19" t="s">
        <v>35</v>
      </c>
      <c r="D31" s="20">
        <v>64.63024590163934</v>
      </c>
      <c r="E31" s="20">
        <v>60.5</v>
      </c>
      <c r="F31" s="31">
        <f>F32/F30*10</f>
        <v>61.56263977635782</v>
      </c>
      <c r="G31" s="26">
        <v>0</v>
      </c>
      <c r="H31" s="26">
        <v>52.5</v>
      </c>
      <c r="I31" s="26">
        <v>66.67</v>
      </c>
      <c r="J31" s="40">
        <v>47.5</v>
      </c>
      <c r="K31" s="40">
        <v>61</v>
      </c>
      <c r="L31" s="41">
        <v>67</v>
      </c>
      <c r="M31" s="40">
        <v>63.08</v>
      </c>
      <c r="N31" s="40">
        <v>61.38</v>
      </c>
      <c r="O31" s="40">
        <v>61.82</v>
      </c>
      <c r="P31" s="132"/>
    </row>
    <row r="32" spans="1:16" ht="12.75">
      <c r="A32" s="121"/>
      <c r="B32" s="23" t="s">
        <v>29</v>
      </c>
      <c r="C32" s="24" t="s">
        <v>23</v>
      </c>
      <c r="D32" s="25">
        <f aca="true" t="shared" si="12" ref="D32:P32">D31*D30/10</f>
        <v>3942.4449999999997</v>
      </c>
      <c r="E32" s="25">
        <v>3029</v>
      </c>
      <c r="F32" s="25">
        <f>SUM(G32:P32)</f>
        <v>3083.057</v>
      </c>
      <c r="G32" s="25">
        <f t="shared" si="12"/>
        <v>0</v>
      </c>
      <c r="H32" s="25">
        <f t="shared" si="12"/>
        <v>42</v>
      </c>
      <c r="I32" s="25">
        <f t="shared" si="12"/>
        <v>20.000999999999998</v>
      </c>
      <c r="J32" s="43">
        <f t="shared" si="12"/>
        <v>32.3</v>
      </c>
      <c r="K32" s="43">
        <f t="shared" si="12"/>
        <v>207.4</v>
      </c>
      <c r="L32" s="43">
        <f t="shared" si="12"/>
        <v>268</v>
      </c>
      <c r="M32" s="43">
        <f t="shared" si="12"/>
        <v>82.00399999999999</v>
      </c>
      <c r="N32" s="43">
        <f t="shared" si="12"/>
        <v>2332.44</v>
      </c>
      <c r="O32" s="43">
        <f t="shared" si="12"/>
        <v>98.912</v>
      </c>
      <c r="P32" s="133">
        <f t="shared" si="12"/>
        <v>0</v>
      </c>
    </row>
    <row r="33" spans="1:16" s="44" customFormat="1" ht="15.75">
      <c r="A33" s="123">
        <v>3</v>
      </c>
      <c r="B33" s="67" t="s">
        <v>41</v>
      </c>
      <c r="C33" s="13" t="s">
        <v>21</v>
      </c>
      <c r="D33" s="15">
        <v>1129</v>
      </c>
      <c r="E33" s="15">
        <v>930</v>
      </c>
      <c r="F33" s="14">
        <f>SUM(G33:P33)</f>
        <v>930</v>
      </c>
      <c r="G33" s="16">
        <v>119</v>
      </c>
      <c r="H33" s="15">
        <v>0</v>
      </c>
      <c r="I33" s="16">
        <v>8</v>
      </c>
      <c r="J33" s="38">
        <v>6</v>
      </c>
      <c r="K33" s="38">
        <v>0</v>
      </c>
      <c r="L33" s="39">
        <v>145</v>
      </c>
      <c r="M33" s="38">
        <v>72</v>
      </c>
      <c r="N33" s="38">
        <v>0</v>
      </c>
      <c r="O33" s="38">
        <v>565</v>
      </c>
      <c r="P33" s="131">
        <v>15</v>
      </c>
    </row>
    <row r="34" spans="1:16" ht="12.75">
      <c r="A34" s="125"/>
      <c r="B34" s="18" t="s">
        <v>34</v>
      </c>
      <c r="C34" s="19" t="s">
        <v>35</v>
      </c>
      <c r="D34" s="20">
        <v>57.8</v>
      </c>
      <c r="E34" s="20">
        <v>57</v>
      </c>
      <c r="F34" s="31">
        <f>F35/F33*10</f>
        <v>57.591445617784125</v>
      </c>
      <c r="G34" s="45">
        <v>56.90968443960827</v>
      </c>
      <c r="H34" s="45"/>
      <c r="I34" s="45">
        <v>51</v>
      </c>
      <c r="J34" s="45">
        <v>46.66666666666667</v>
      </c>
      <c r="K34" s="45"/>
      <c r="L34" s="37">
        <v>71.65517241379311</v>
      </c>
      <c r="M34" s="45">
        <v>68.47222222222223</v>
      </c>
      <c r="N34" s="45"/>
      <c r="O34" s="45">
        <v>53.15007429420505</v>
      </c>
      <c r="P34" s="134">
        <v>50</v>
      </c>
    </row>
    <row r="35" spans="1:16" ht="12.75">
      <c r="A35" s="121"/>
      <c r="B35" s="23" t="s">
        <v>29</v>
      </c>
      <c r="C35" s="24" t="s">
        <v>23</v>
      </c>
      <c r="D35" s="25">
        <f aca="true" t="shared" si="13" ref="D35:P35">D34*D33/10</f>
        <v>6525.62</v>
      </c>
      <c r="E35" s="25">
        <v>5301</v>
      </c>
      <c r="F35" s="25">
        <f>SUM(G35:P35)</f>
        <v>5356.004442453924</v>
      </c>
      <c r="G35" s="25">
        <f t="shared" si="13"/>
        <v>677.2252448313384</v>
      </c>
      <c r="H35" s="25">
        <f t="shared" si="13"/>
        <v>0</v>
      </c>
      <c r="I35" s="25">
        <f t="shared" si="13"/>
        <v>40.8</v>
      </c>
      <c r="J35" s="25">
        <f t="shared" si="13"/>
        <v>28</v>
      </c>
      <c r="K35" s="25">
        <f t="shared" si="13"/>
        <v>0</v>
      </c>
      <c r="L35" s="25">
        <f t="shared" si="13"/>
        <v>1039.0000000000002</v>
      </c>
      <c r="M35" s="25">
        <f t="shared" si="13"/>
        <v>493</v>
      </c>
      <c r="N35" s="25">
        <f t="shared" si="13"/>
        <v>0</v>
      </c>
      <c r="O35" s="25">
        <f t="shared" si="13"/>
        <v>3002.979197622585</v>
      </c>
      <c r="P35" s="127">
        <f t="shared" si="13"/>
        <v>75</v>
      </c>
    </row>
    <row r="36" spans="1:16" ht="12.75">
      <c r="A36" s="113" t="s">
        <v>42</v>
      </c>
      <c r="B36" s="46" t="s">
        <v>43</v>
      </c>
      <c r="C36" s="47" t="s">
        <v>21</v>
      </c>
      <c r="D36" s="48">
        <f aca="true" t="shared" si="14" ref="D36:P36">SUM(D37+D40)</f>
        <v>4309</v>
      </c>
      <c r="E36" s="48">
        <f>E37+E40</f>
        <v>4355</v>
      </c>
      <c r="F36" s="48">
        <f t="shared" si="14"/>
        <v>4355</v>
      </c>
      <c r="G36" s="48">
        <f t="shared" si="14"/>
        <v>19</v>
      </c>
      <c r="H36" s="48">
        <f t="shared" si="14"/>
        <v>166</v>
      </c>
      <c r="I36" s="48">
        <f t="shared" si="14"/>
        <v>237</v>
      </c>
      <c r="J36" s="48">
        <f t="shared" si="14"/>
        <v>96</v>
      </c>
      <c r="K36" s="48">
        <f t="shared" si="14"/>
        <v>574</v>
      </c>
      <c r="L36" s="48">
        <f t="shared" si="14"/>
        <v>1493</v>
      </c>
      <c r="M36" s="48">
        <f t="shared" si="14"/>
        <v>179</v>
      </c>
      <c r="N36" s="48">
        <f t="shared" si="14"/>
        <v>1135</v>
      </c>
      <c r="O36" s="48">
        <f t="shared" si="14"/>
        <v>405</v>
      </c>
      <c r="P36" s="135">
        <f t="shared" si="14"/>
        <v>51</v>
      </c>
    </row>
    <row r="37" spans="1:16" s="99" customFormat="1" ht="12.75">
      <c r="A37" s="123">
        <v>1</v>
      </c>
      <c r="B37" s="67" t="s">
        <v>44</v>
      </c>
      <c r="C37" s="13" t="s">
        <v>21</v>
      </c>
      <c r="D37" s="15">
        <v>2763</v>
      </c>
      <c r="E37" s="15">
        <v>3419</v>
      </c>
      <c r="F37" s="14">
        <f>SUM(G37:P37)</f>
        <v>3419</v>
      </c>
      <c r="G37" s="16">
        <v>19</v>
      </c>
      <c r="H37" s="16">
        <v>152</v>
      </c>
      <c r="I37" s="38">
        <v>206</v>
      </c>
      <c r="J37" s="38">
        <v>89</v>
      </c>
      <c r="K37" s="38">
        <v>394</v>
      </c>
      <c r="L37" s="39">
        <v>1311</v>
      </c>
      <c r="M37" s="38">
        <v>154</v>
      </c>
      <c r="N37" s="38">
        <v>691</v>
      </c>
      <c r="O37" s="38">
        <v>352</v>
      </c>
      <c r="P37" s="124">
        <v>51</v>
      </c>
    </row>
    <row r="38" spans="1:16" ht="12.75">
      <c r="A38" s="125"/>
      <c r="B38" s="18" t="s">
        <v>34</v>
      </c>
      <c r="C38" s="19" t="s">
        <v>35</v>
      </c>
      <c r="D38" s="20">
        <v>63.89782120883099</v>
      </c>
      <c r="E38" s="20">
        <v>65.4</v>
      </c>
      <c r="F38" s="31">
        <f>F39/F37*10</f>
        <v>67.13073998245102</v>
      </c>
      <c r="G38" s="16">
        <v>109.47368421052632</v>
      </c>
      <c r="H38" s="16">
        <v>71.90789473684211</v>
      </c>
      <c r="I38" s="38">
        <v>67.96116504854369</v>
      </c>
      <c r="J38" s="38">
        <v>78.76404494382022</v>
      </c>
      <c r="K38" s="38">
        <v>60.203045685279186</v>
      </c>
      <c r="L38" s="39">
        <v>67.04042715484363</v>
      </c>
      <c r="M38" s="38">
        <v>70.45454545454545</v>
      </c>
      <c r="N38" s="38">
        <v>70</v>
      </c>
      <c r="O38" s="38">
        <v>61.61931818181819</v>
      </c>
      <c r="P38" s="124">
        <v>58.431372549019606</v>
      </c>
    </row>
    <row r="39" spans="1:16" ht="12.75">
      <c r="A39" s="136"/>
      <c r="B39" s="23" t="s">
        <v>29</v>
      </c>
      <c r="C39" s="24" t="s">
        <v>23</v>
      </c>
      <c r="D39" s="25">
        <f aca="true" t="shared" si="15" ref="D39:P39">D38*D37/10</f>
        <v>17654.968</v>
      </c>
      <c r="E39" s="25">
        <v>22368</v>
      </c>
      <c r="F39" s="25">
        <f>SUM(G39:P39)</f>
        <v>22952</v>
      </c>
      <c r="G39" s="25">
        <f t="shared" si="15"/>
        <v>208</v>
      </c>
      <c r="H39" s="25">
        <f t="shared" si="15"/>
        <v>1093</v>
      </c>
      <c r="I39" s="43">
        <f t="shared" si="15"/>
        <v>1400</v>
      </c>
      <c r="J39" s="43">
        <f t="shared" si="15"/>
        <v>701</v>
      </c>
      <c r="K39" s="43">
        <f t="shared" si="15"/>
        <v>2372</v>
      </c>
      <c r="L39" s="43">
        <f t="shared" si="15"/>
        <v>8789</v>
      </c>
      <c r="M39" s="43">
        <f t="shared" si="15"/>
        <v>1085</v>
      </c>
      <c r="N39" s="43">
        <f t="shared" si="15"/>
        <v>4837</v>
      </c>
      <c r="O39" s="43">
        <f t="shared" si="15"/>
        <v>2169</v>
      </c>
      <c r="P39" s="127">
        <f t="shared" si="15"/>
        <v>298</v>
      </c>
    </row>
    <row r="40" spans="1:16" s="99" customFormat="1" ht="12.75">
      <c r="A40" s="123">
        <v>2</v>
      </c>
      <c r="B40" s="67" t="s">
        <v>45</v>
      </c>
      <c r="C40" s="13" t="s">
        <v>21</v>
      </c>
      <c r="D40" s="15">
        <v>1546</v>
      </c>
      <c r="E40" s="15">
        <v>936</v>
      </c>
      <c r="F40" s="14">
        <f>SUM(G40:P40)</f>
        <v>936</v>
      </c>
      <c r="G40" s="16">
        <v>0</v>
      </c>
      <c r="H40" s="16">
        <v>14</v>
      </c>
      <c r="I40" s="38">
        <v>31</v>
      </c>
      <c r="J40" s="38">
        <v>7</v>
      </c>
      <c r="K40" s="38">
        <v>180</v>
      </c>
      <c r="L40" s="39">
        <v>182</v>
      </c>
      <c r="M40" s="38">
        <v>25</v>
      </c>
      <c r="N40" s="38">
        <v>444</v>
      </c>
      <c r="O40" s="38">
        <v>53</v>
      </c>
      <c r="P40" s="124">
        <v>0</v>
      </c>
    </row>
    <row r="41" spans="1:16" ht="12.75">
      <c r="A41" s="125"/>
      <c r="B41" s="18" t="s">
        <v>34</v>
      </c>
      <c r="C41" s="19" t="s">
        <v>35</v>
      </c>
      <c r="D41" s="20">
        <v>7.047011642949547</v>
      </c>
      <c r="E41" s="20">
        <v>6.6</v>
      </c>
      <c r="F41" s="31">
        <f>F42/F40*10</f>
        <v>7.008974358974358</v>
      </c>
      <c r="G41" s="26">
        <v>0</v>
      </c>
      <c r="H41" s="26">
        <v>8.57</v>
      </c>
      <c r="I41" s="40">
        <v>7.1</v>
      </c>
      <c r="J41" s="40">
        <v>6.4</v>
      </c>
      <c r="K41" s="40">
        <v>7.4</v>
      </c>
      <c r="L41" s="41">
        <v>7.2</v>
      </c>
      <c r="M41" s="40">
        <v>6.34</v>
      </c>
      <c r="N41" s="40">
        <v>6.71</v>
      </c>
      <c r="O41" s="40">
        <v>7.46</v>
      </c>
      <c r="P41" s="128">
        <v>0</v>
      </c>
    </row>
    <row r="42" spans="1:16" ht="12.75">
      <c r="A42" s="121"/>
      <c r="B42" s="23" t="s">
        <v>29</v>
      </c>
      <c r="C42" s="24" t="s">
        <v>23</v>
      </c>
      <c r="D42" s="25">
        <f aca="true" t="shared" si="16" ref="D42:P42">D41*D40/10</f>
        <v>1089.468</v>
      </c>
      <c r="E42" s="25">
        <v>613</v>
      </c>
      <c r="F42" s="25">
        <f>SUM(G42:P42)</f>
        <v>656.04</v>
      </c>
      <c r="G42" s="25">
        <f t="shared" si="16"/>
        <v>0</v>
      </c>
      <c r="H42" s="25">
        <f t="shared" si="16"/>
        <v>11.998000000000001</v>
      </c>
      <c r="I42" s="43">
        <f t="shared" si="16"/>
        <v>22.009999999999998</v>
      </c>
      <c r="J42" s="43">
        <f t="shared" si="16"/>
        <v>4.48</v>
      </c>
      <c r="K42" s="43">
        <f t="shared" si="16"/>
        <v>133.2</v>
      </c>
      <c r="L42" s="43">
        <f t="shared" si="16"/>
        <v>131.04000000000002</v>
      </c>
      <c r="M42" s="43">
        <f t="shared" si="16"/>
        <v>15.85</v>
      </c>
      <c r="N42" s="43">
        <f t="shared" si="16"/>
        <v>297.924</v>
      </c>
      <c r="O42" s="43">
        <f t="shared" si="16"/>
        <v>39.538</v>
      </c>
      <c r="P42" s="127">
        <f t="shared" si="16"/>
        <v>0</v>
      </c>
    </row>
    <row r="43" spans="1:16" s="99" customFormat="1" ht="12.75">
      <c r="A43" s="115" t="s">
        <v>46</v>
      </c>
      <c r="B43" s="7" t="s">
        <v>47</v>
      </c>
      <c r="C43" s="6" t="s">
        <v>21</v>
      </c>
      <c r="D43" s="12">
        <f aca="true" t="shared" si="17" ref="D43:P43">SUM(D44+D47+D50+D53+D56)</f>
        <v>1118</v>
      </c>
      <c r="E43" s="12">
        <f>E44+E47+E50+E53+E56</f>
        <v>859</v>
      </c>
      <c r="F43" s="12">
        <f t="shared" si="17"/>
        <v>859</v>
      </c>
      <c r="G43" s="12">
        <f t="shared" si="17"/>
        <v>3</v>
      </c>
      <c r="H43" s="12">
        <f t="shared" si="17"/>
        <v>12</v>
      </c>
      <c r="I43" s="49">
        <f t="shared" si="17"/>
        <v>54</v>
      </c>
      <c r="J43" s="49">
        <f t="shared" si="17"/>
        <v>31</v>
      </c>
      <c r="K43" s="49">
        <f t="shared" si="17"/>
        <v>152</v>
      </c>
      <c r="L43" s="49">
        <f t="shared" si="17"/>
        <v>166</v>
      </c>
      <c r="M43" s="49">
        <f t="shared" si="17"/>
        <v>23</v>
      </c>
      <c r="N43" s="49">
        <f t="shared" si="17"/>
        <v>342</v>
      </c>
      <c r="O43" s="49">
        <f t="shared" si="17"/>
        <v>76</v>
      </c>
      <c r="P43" s="119">
        <f t="shared" si="17"/>
        <v>0</v>
      </c>
    </row>
    <row r="44" spans="1:16" s="99" customFormat="1" ht="12.75">
      <c r="A44" s="123">
        <v>1</v>
      </c>
      <c r="B44" s="67" t="s">
        <v>48</v>
      </c>
      <c r="C44" s="13" t="s">
        <v>21</v>
      </c>
      <c r="D44" s="15">
        <v>90</v>
      </c>
      <c r="E44" s="15">
        <v>80</v>
      </c>
      <c r="F44" s="14">
        <f>SUM(G44:P44)</f>
        <v>80</v>
      </c>
      <c r="G44" s="16">
        <v>0</v>
      </c>
      <c r="H44" s="16">
        <v>0</v>
      </c>
      <c r="I44" s="38">
        <v>0</v>
      </c>
      <c r="J44" s="38">
        <v>2</v>
      </c>
      <c r="K44" s="38">
        <v>5</v>
      </c>
      <c r="L44" s="39">
        <v>63</v>
      </c>
      <c r="M44" s="38">
        <v>0</v>
      </c>
      <c r="N44" s="38">
        <v>0</v>
      </c>
      <c r="O44" s="38">
        <v>10</v>
      </c>
      <c r="P44" s="124">
        <v>0</v>
      </c>
    </row>
    <row r="45" spans="1:16" ht="12.75">
      <c r="A45" s="125"/>
      <c r="B45" s="18" t="s">
        <v>34</v>
      </c>
      <c r="C45" s="19" t="s">
        <v>32</v>
      </c>
      <c r="D45" s="20">
        <v>7.551777777777779</v>
      </c>
      <c r="E45" s="20">
        <v>7.3</v>
      </c>
      <c r="F45" s="31">
        <f>F46/F44*10</f>
        <v>7.250000000000001</v>
      </c>
      <c r="G45" s="50"/>
      <c r="H45" s="50"/>
      <c r="I45" s="51"/>
      <c r="J45" s="51">
        <v>10</v>
      </c>
      <c r="K45" s="51">
        <v>8</v>
      </c>
      <c r="L45" s="52">
        <v>6.825396825396826</v>
      </c>
      <c r="M45" s="51"/>
      <c r="N45" s="51"/>
      <c r="O45" s="51">
        <v>9</v>
      </c>
      <c r="P45" s="128"/>
    </row>
    <row r="46" spans="1:16" ht="12.75">
      <c r="A46" s="125"/>
      <c r="B46" s="32" t="s">
        <v>29</v>
      </c>
      <c r="C46" s="33" t="s">
        <v>23</v>
      </c>
      <c r="D46" s="53">
        <f aca="true" t="shared" si="18" ref="D46:P46">D45*D44/10</f>
        <v>67.96600000000001</v>
      </c>
      <c r="E46" s="53">
        <v>58</v>
      </c>
      <c r="F46" s="25">
        <f>SUM(G46:P46)</f>
        <v>58.00000000000001</v>
      </c>
      <c r="G46" s="53">
        <f t="shared" si="18"/>
        <v>0</v>
      </c>
      <c r="H46" s="53">
        <f t="shared" si="18"/>
        <v>0</v>
      </c>
      <c r="I46" s="54">
        <f t="shared" si="18"/>
        <v>0</v>
      </c>
      <c r="J46" s="54">
        <f t="shared" si="18"/>
        <v>2</v>
      </c>
      <c r="K46" s="54">
        <f t="shared" si="18"/>
        <v>4</v>
      </c>
      <c r="L46" s="54">
        <f t="shared" si="18"/>
        <v>43.00000000000001</v>
      </c>
      <c r="M46" s="54">
        <f t="shared" si="18"/>
        <v>0</v>
      </c>
      <c r="N46" s="54">
        <f t="shared" si="18"/>
        <v>0</v>
      </c>
      <c r="O46" s="54">
        <f t="shared" si="18"/>
        <v>9</v>
      </c>
      <c r="P46" s="137">
        <f t="shared" si="18"/>
        <v>0</v>
      </c>
    </row>
    <row r="47" spans="1:16" s="99" customFormat="1" ht="12.75">
      <c r="A47" s="123">
        <v>2</v>
      </c>
      <c r="B47" s="67" t="s">
        <v>49</v>
      </c>
      <c r="C47" s="13" t="s">
        <v>21</v>
      </c>
      <c r="D47" s="15">
        <v>520</v>
      </c>
      <c r="E47" s="15">
        <v>383</v>
      </c>
      <c r="F47" s="14">
        <f>SUM(G47:P47)</f>
        <v>383</v>
      </c>
      <c r="G47" s="16">
        <v>0</v>
      </c>
      <c r="H47" s="16">
        <v>0</v>
      </c>
      <c r="I47" s="38">
        <v>11</v>
      </c>
      <c r="J47" s="38">
        <v>14</v>
      </c>
      <c r="K47" s="38">
        <v>29</v>
      </c>
      <c r="L47" s="39">
        <v>67</v>
      </c>
      <c r="M47" s="38">
        <v>2</v>
      </c>
      <c r="N47" s="38">
        <v>210</v>
      </c>
      <c r="O47" s="38">
        <v>50</v>
      </c>
      <c r="P47" s="124">
        <v>0</v>
      </c>
    </row>
    <row r="48" spans="1:16" ht="12.75">
      <c r="A48" s="125"/>
      <c r="B48" s="18" t="s">
        <v>34</v>
      </c>
      <c r="C48" s="19" t="s">
        <v>35</v>
      </c>
      <c r="D48" s="20">
        <v>7.636442307692308</v>
      </c>
      <c r="E48" s="20">
        <v>7.3</v>
      </c>
      <c r="F48" s="31">
        <f>F49/F47*10</f>
        <v>7.8835509138381195</v>
      </c>
      <c r="G48" s="55">
        <v>0</v>
      </c>
      <c r="H48" s="55"/>
      <c r="I48" s="56">
        <v>8.181818181818182</v>
      </c>
      <c r="J48" s="56">
        <v>10</v>
      </c>
      <c r="K48" s="56">
        <v>8.6</v>
      </c>
      <c r="L48" s="57">
        <v>10.149253731343284</v>
      </c>
      <c r="M48" s="56"/>
      <c r="N48" s="56">
        <v>7</v>
      </c>
      <c r="O48" s="56">
        <v>7.8</v>
      </c>
      <c r="P48" s="138"/>
    </row>
    <row r="49" spans="1:16" ht="12.75">
      <c r="A49" s="125"/>
      <c r="B49" s="32" t="s">
        <v>29</v>
      </c>
      <c r="C49" s="33" t="s">
        <v>23</v>
      </c>
      <c r="D49" s="58">
        <f aca="true" t="shared" si="19" ref="D49:P49">D48*D47/10</f>
        <v>397.095</v>
      </c>
      <c r="E49" s="58">
        <v>278</v>
      </c>
      <c r="F49" s="25">
        <f>SUM(G49:P49)</f>
        <v>301.94</v>
      </c>
      <c r="G49" s="58">
        <f t="shared" si="19"/>
        <v>0</v>
      </c>
      <c r="H49" s="58">
        <f t="shared" si="19"/>
        <v>0</v>
      </c>
      <c r="I49" s="59">
        <f t="shared" si="19"/>
        <v>9</v>
      </c>
      <c r="J49" s="59">
        <f t="shared" si="19"/>
        <v>14</v>
      </c>
      <c r="K49" s="59">
        <f t="shared" si="19"/>
        <v>24.939999999999998</v>
      </c>
      <c r="L49" s="59">
        <f t="shared" si="19"/>
        <v>68.00000000000001</v>
      </c>
      <c r="M49" s="59">
        <f t="shared" si="19"/>
        <v>0</v>
      </c>
      <c r="N49" s="59">
        <f t="shared" si="19"/>
        <v>147</v>
      </c>
      <c r="O49" s="59">
        <f t="shared" si="19"/>
        <v>39</v>
      </c>
      <c r="P49" s="139">
        <f t="shared" si="19"/>
        <v>0</v>
      </c>
    </row>
    <row r="50" spans="1:16" s="99" customFormat="1" ht="12.75">
      <c r="A50" s="123">
        <v>3</v>
      </c>
      <c r="B50" s="67" t="s">
        <v>50</v>
      </c>
      <c r="C50" s="13" t="s">
        <v>21</v>
      </c>
      <c r="D50" s="15">
        <v>35</v>
      </c>
      <c r="E50" s="15">
        <v>10</v>
      </c>
      <c r="F50" s="14">
        <f>SUM(G50:P50)</f>
        <v>10</v>
      </c>
      <c r="G50" s="16">
        <v>0</v>
      </c>
      <c r="H50" s="16">
        <v>0</v>
      </c>
      <c r="I50" s="38">
        <v>4</v>
      </c>
      <c r="J50" s="38">
        <v>0</v>
      </c>
      <c r="K50" s="38">
        <v>1</v>
      </c>
      <c r="L50" s="39">
        <v>1</v>
      </c>
      <c r="M50" s="38">
        <v>1</v>
      </c>
      <c r="N50" s="38">
        <v>0</v>
      </c>
      <c r="O50" s="38">
        <v>3</v>
      </c>
      <c r="P50" s="124">
        <v>0</v>
      </c>
    </row>
    <row r="51" spans="1:16" ht="12.75">
      <c r="A51" s="125"/>
      <c r="B51" s="18" t="s">
        <v>34</v>
      </c>
      <c r="C51" s="19" t="s">
        <v>35</v>
      </c>
      <c r="D51" s="20">
        <v>7.4300000000000015</v>
      </c>
      <c r="E51" s="20">
        <v>9</v>
      </c>
      <c r="F51" s="31">
        <f>F52/F50*10</f>
        <v>9</v>
      </c>
      <c r="G51" s="26">
        <v>0</v>
      </c>
      <c r="H51" s="26"/>
      <c r="I51" s="40">
        <v>7.5</v>
      </c>
      <c r="J51" s="40"/>
      <c r="K51" s="40">
        <v>10</v>
      </c>
      <c r="L51" s="60">
        <v>10</v>
      </c>
      <c r="M51" s="40">
        <v>10</v>
      </c>
      <c r="N51" s="40"/>
      <c r="O51" s="40">
        <v>10</v>
      </c>
      <c r="P51" s="128"/>
    </row>
    <row r="52" spans="1:16" ht="12.75">
      <c r="A52" s="125"/>
      <c r="B52" s="32" t="s">
        <v>29</v>
      </c>
      <c r="C52" s="33" t="s">
        <v>23</v>
      </c>
      <c r="D52" s="53">
        <f aca="true" t="shared" si="20" ref="D52:P52">D51*D50/10</f>
        <v>26.005000000000006</v>
      </c>
      <c r="E52" s="53">
        <v>9</v>
      </c>
      <c r="F52" s="25">
        <f>SUM(G52:P52)</f>
        <v>9</v>
      </c>
      <c r="G52" s="53">
        <f t="shared" si="20"/>
        <v>0</v>
      </c>
      <c r="H52" s="53">
        <f t="shared" si="20"/>
        <v>0</v>
      </c>
      <c r="I52" s="54">
        <f t="shared" si="20"/>
        <v>3</v>
      </c>
      <c r="J52" s="54">
        <f t="shared" si="20"/>
        <v>0</v>
      </c>
      <c r="K52" s="54">
        <f t="shared" si="20"/>
        <v>1</v>
      </c>
      <c r="L52" s="54">
        <f t="shared" si="20"/>
        <v>1</v>
      </c>
      <c r="M52" s="54">
        <f t="shared" si="20"/>
        <v>1</v>
      </c>
      <c r="N52" s="54">
        <f t="shared" si="20"/>
        <v>0</v>
      </c>
      <c r="O52" s="54">
        <f t="shared" si="20"/>
        <v>3</v>
      </c>
      <c r="P52" s="137">
        <f t="shared" si="20"/>
        <v>0</v>
      </c>
    </row>
    <row r="53" spans="1:16" s="99" customFormat="1" ht="12.75">
      <c r="A53" s="123">
        <v>4</v>
      </c>
      <c r="B53" s="67" t="s">
        <v>51</v>
      </c>
      <c r="C53" s="13" t="s">
        <v>21</v>
      </c>
      <c r="D53" s="15">
        <v>432</v>
      </c>
      <c r="E53" s="15">
        <v>372</v>
      </c>
      <c r="F53" s="14">
        <f>SUM(G53:P53)</f>
        <v>372</v>
      </c>
      <c r="G53" s="16">
        <v>3</v>
      </c>
      <c r="H53" s="16">
        <v>12</v>
      </c>
      <c r="I53" s="38">
        <v>39</v>
      </c>
      <c r="J53" s="38">
        <v>15</v>
      </c>
      <c r="K53" s="38">
        <v>117</v>
      </c>
      <c r="L53" s="39">
        <v>35</v>
      </c>
      <c r="M53" s="38">
        <v>6</v>
      </c>
      <c r="N53" s="38">
        <v>132</v>
      </c>
      <c r="O53" s="38">
        <v>13</v>
      </c>
      <c r="P53" s="124">
        <v>0</v>
      </c>
    </row>
    <row r="54" spans="1:16" ht="12.75">
      <c r="A54" s="125"/>
      <c r="B54" s="18" t="s">
        <v>34</v>
      </c>
      <c r="C54" s="19" t="s">
        <v>35</v>
      </c>
      <c r="D54" s="20">
        <v>386.757337962963</v>
      </c>
      <c r="E54" s="20">
        <v>339.4</v>
      </c>
      <c r="F54" s="31">
        <f>F55/F53*10</f>
        <v>339.58333333333337</v>
      </c>
      <c r="G54" s="16">
        <v>340</v>
      </c>
      <c r="H54" s="16">
        <v>320</v>
      </c>
      <c r="I54" s="38">
        <v>306.4102564102564</v>
      </c>
      <c r="J54" s="38">
        <v>314</v>
      </c>
      <c r="K54" s="38">
        <v>351</v>
      </c>
      <c r="L54" s="39">
        <v>337</v>
      </c>
      <c r="M54" s="38">
        <v>337</v>
      </c>
      <c r="N54" s="38">
        <v>345</v>
      </c>
      <c r="O54" s="38">
        <v>337</v>
      </c>
      <c r="P54" s="124"/>
    </row>
    <row r="55" spans="1:16" ht="12.75">
      <c r="A55" s="121"/>
      <c r="B55" s="23" t="s">
        <v>29</v>
      </c>
      <c r="C55" s="24" t="s">
        <v>23</v>
      </c>
      <c r="D55" s="61">
        <f aca="true" t="shared" si="21" ref="D55:P55">D54*D53/10</f>
        <v>16707.917</v>
      </c>
      <c r="E55" s="61">
        <v>12624</v>
      </c>
      <c r="F55" s="25">
        <f>SUM(G55:P55)</f>
        <v>12632.5</v>
      </c>
      <c r="G55" s="61">
        <f t="shared" si="21"/>
        <v>102</v>
      </c>
      <c r="H55" s="61">
        <f t="shared" si="21"/>
        <v>384</v>
      </c>
      <c r="I55" s="62">
        <f t="shared" si="21"/>
        <v>1195</v>
      </c>
      <c r="J55" s="62">
        <f t="shared" si="21"/>
        <v>471</v>
      </c>
      <c r="K55" s="62">
        <f t="shared" si="21"/>
        <v>4106.7</v>
      </c>
      <c r="L55" s="62">
        <f t="shared" si="21"/>
        <v>1179.5</v>
      </c>
      <c r="M55" s="62">
        <f t="shared" si="21"/>
        <v>202.2</v>
      </c>
      <c r="N55" s="62">
        <f t="shared" si="21"/>
        <v>4554</v>
      </c>
      <c r="O55" s="62">
        <f t="shared" si="21"/>
        <v>438.1</v>
      </c>
      <c r="P55" s="127">
        <f t="shared" si="21"/>
        <v>0</v>
      </c>
    </row>
    <row r="56" spans="1:16" s="99" customFormat="1" ht="12.75">
      <c r="A56" s="123">
        <v>6</v>
      </c>
      <c r="B56" s="67" t="s">
        <v>52</v>
      </c>
      <c r="C56" s="13" t="s">
        <v>21</v>
      </c>
      <c r="D56" s="15">
        <v>41</v>
      </c>
      <c r="E56" s="15">
        <v>14</v>
      </c>
      <c r="F56" s="14">
        <f>SUM(G56:P56)</f>
        <v>14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14</v>
      </c>
      <c r="N56" s="63">
        <v>0</v>
      </c>
      <c r="O56" s="63">
        <v>0</v>
      </c>
      <c r="P56" s="140">
        <v>0</v>
      </c>
    </row>
    <row r="57" spans="1:16" ht="12.75">
      <c r="A57" s="125"/>
      <c r="B57" s="18" t="s">
        <v>34</v>
      </c>
      <c r="C57" s="19" t="s">
        <v>35</v>
      </c>
      <c r="D57" s="20">
        <v>10.975609756097562</v>
      </c>
      <c r="E57" s="20">
        <v>12.1</v>
      </c>
      <c r="F57" s="31">
        <f>F58/F56*10</f>
        <v>12.142857142857142</v>
      </c>
      <c r="G57" s="64">
        <v>0</v>
      </c>
      <c r="H57" s="22"/>
      <c r="I57" s="22"/>
      <c r="J57" s="22"/>
      <c r="K57" s="22"/>
      <c r="L57" s="22"/>
      <c r="M57" s="22">
        <v>12.142857142857142</v>
      </c>
      <c r="N57" s="22"/>
      <c r="O57" s="22"/>
      <c r="P57" s="126"/>
    </row>
    <row r="58" spans="1:16" ht="12.75">
      <c r="A58" s="125"/>
      <c r="B58" s="32" t="s">
        <v>29</v>
      </c>
      <c r="C58" s="33" t="s">
        <v>23</v>
      </c>
      <c r="D58" s="53">
        <f aca="true" t="shared" si="22" ref="D58:P58">D57*D56/10</f>
        <v>45.00000000000001</v>
      </c>
      <c r="E58" s="53">
        <v>17</v>
      </c>
      <c r="F58" s="25">
        <f>SUM(G58:P58)</f>
        <v>17</v>
      </c>
      <c r="G58" s="53">
        <f t="shared" si="22"/>
        <v>0</v>
      </c>
      <c r="H58" s="53">
        <f t="shared" si="22"/>
        <v>0</v>
      </c>
      <c r="I58" s="54">
        <f t="shared" si="22"/>
        <v>0</v>
      </c>
      <c r="J58" s="54">
        <f t="shared" si="22"/>
        <v>0</v>
      </c>
      <c r="K58" s="54">
        <f t="shared" si="22"/>
        <v>0</v>
      </c>
      <c r="L58" s="54">
        <f t="shared" si="22"/>
        <v>0</v>
      </c>
      <c r="M58" s="54">
        <f t="shared" si="22"/>
        <v>17</v>
      </c>
      <c r="N58" s="54">
        <f t="shared" si="22"/>
        <v>0</v>
      </c>
      <c r="O58" s="54">
        <f t="shared" si="22"/>
        <v>0</v>
      </c>
      <c r="P58" s="137">
        <f t="shared" si="22"/>
        <v>0</v>
      </c>
    </row>
    <row r="59" spans="1:16" ht="12.75">
      <c r="A59" s="113" t="s">
        <v>53</v>
      </c>
      <c r="B59" s="3" t="s">
        <v>54</v>
      </c>
      <c r="C59" s="65" t="s">
        <v>21</v>
      </c>
      <c r="D59" s="48">
        <f aca="true" t="shared" si="23" ref="D59:P59">SUM(D60+D61)</f>
        <v>702</v>
      </c>
      <c r="E59" s="48">
        <f>E60+E61</f>
        <v>710</v>
      </c>
      <c r="F59" s="48">
        <f t="shared" si="23"/>
        <v>710</v>
      </c>
      <c r="G59" s="48">
        <f t="shared" si="23"/>
        <v>25</v>
      </c>
      <c r="H59" s="48">
        <f t="shared" si="23"/>
        <v>27</v>
      </c>
      <c r="I59" s="66">
        <f t="shared" si="23"/>
        <v>93</v>
      </c>
      <c r="J59" s="66">
        <f t="shared" si="23"/>
        <v>62</v>
      </c>
      <c r="K59" s="66">
        <f t="shared" si="23"/>
        <v>227</v>
      </c>
      <c r="L59" s="66">
        <f t="shared" si="23"/>
        <v>111</v>
      </c>
      <c r="M59" s="66">
        <f t="shared" si="23"/>
        <v>56</v>
      </c>
      <c r="N59" s="66">
        <f t="shared" si="23"/>
        <v>0</v>
      </c>
      <c r="O59" s="66">
        <f t="shared" si="23"/>
        <v>68</v>
      </c>
      <c r="P59" s="135">
        <f t="shared" si="23"/>
        <v>41</v>
      </c>
    </row>
    <row r="60" spans="1:16" s="99" customFormat="1" ht="12.75">
      <c r="A60" s="123">
        <v>1</v>
      </c>
      <c r="B60" s="67" t="s">
        <v>55</v>
      </c>
      <c r="C60" s="13" t="s">
        <v>21</v>
      </c>
      <c r="D60" s="15">
        <v>483</v>
      </c>
      <c r="E60" s="15">
        <v>411</v>
      </c>
      <c r="F60" s="14">
        <f>SUM(G60:P60)</f>
        <v>411</v>
      </c>
      <c r="G60" s="16">
        <v>0</v>
      </c>
      <c r="H60" s="16">
        <v>9</v>
      </c>
      <c r="I60" s="38">
        <v>23</v>
      </c>
      <c r="J60" s="38">
        <v>2</v>
      </c>
      <c r="K60" s="38">
        <v>227</v>
      </c>
      <c r="L60" s="39">
        <v>74</v>
      </c>
      <c r="M60" s="38">
        <v>20</v>
      </c>
      <c r="N60" s="38">
        <v>0</v>
      </c>
      <c r="O60" s="38">
        <v>56</v>
      </c>
      <c r="P60" s="131">
        <v>0</v>
      </c>
    </row>
    <row r="61" spans="1:16" s="99" customFormat="1" ht="21" customHeight="1">
      <c r="A61" s="123">
        <v>2</v>
      </c>
      <c r="B61" s="67" t="s">
        <v>56</v>
      </c>
      <c r="C61" s="13" t="s">
        <v>21</v>
      </c>
      <c r="D61" s="15">
        <v>219</v>
      </c>
      <c r="E61" s="15">
        <f>141+158</f>
        <v>299</v>
      </c>
      <c r="F61" s="14">
        <f>SUM(G61:P61)</f>
        <v>299</v>
      </c>
      <c r="G61" s="16">
        <v>25</v>
      </c>
      <c r="H61" s="16">
        <v>18</v>
      </c>
      <c r="I61" s="38">
        <v>70</v>
      </c>
      <c r="J61" s="38">
        <v>60</v>
      </c>
      <c r="K61" s="38">
        <v>0</v>
      </c>
      <c r="L61" s="38">
        <v>37</v>
      </c>
      <c r="M61" s="38">
        <v>36</v>
      </c>
      <c r="N61" s="38">
        <v>0</v>
      </c>
      <c r="O61" s="38">
        <v>12</v>
      </c>
      <c r="P61" s="131">
        <v>41</v>
      </c>
    </row>
    <row r="62" spans="1:16" s="99" customFormat="1" ht="12.75">
      <c r="A62" s="115" t="s">
        <v>57</v>
      </c>
      <c r="B62" s="12" t="s">
        <v>58</v>
      </c>
      <c r="C62" s="6" t="s">
        <v>21</v>
      </c>
      <c r="D62" s="68">
        <f>SUM(D63+D94)</f>
        <v>390929</v>
      </c>
      <c r="E62" s="68">
        <f>SUM(E63+E94)</f>
        <v>391174</v>
      </c>
      <c r="F62" s="68">
        <f>SUM(F63+F94)</f>
        <v>398068.57444444444</v>
      </c>
      <c r="G62" s="68">
        <f aca="true" t="shared" si="24" ref="G62:P62">SUM(G63+G94)</f>
        <v>7850.6</v>
      </c>
      <c r="H62" s="68">
        <f t="shared" si="24"/>
        <v>10975</v>
      </c>
      <c r="I62" s="69">
        <f t="shared" si="24"/>
        <v>9258.869999999999</v>
      </c>
      <c r="J62" s="69">
        <f t="shared" si="24"/>
        <v>85077.17444444445</v>
      </c>
      <c r="K62" s="69">
        <f t="shared" si="24"/>
        <v>42523.549999999996</v>
      </c>
      <c r="L62" s="69">
        <f t="shared" si="24"/>
        <v>17402</v>
      </c>
      <c r="M62" s="69">
        <f t="shared" si="24"/>
        <v>49286.82000000001</v>
      </c>
      <c r="N62" s="69">
        <f t="shared" si="24"/>
        <v>51946</v>
      </c>
      <c r="O62" s="69">
        <f t="shared" si="24"/>
        <v>96039.16000000002</v>
      </c>
      <c r="P62" s="141">
        <f t="shared" si="24"/>
        <v>27709.399999999998</v>
      </c>
    </row>
    <row r="63" spans="1:16" s="99" customFormat="1" ht="12.75">
      <c r="A63" s="115" t="s">
        <v>24</v>
      </c>
      <c r="B63" s="12" t="s">
        <v>59</v>
      </c>
      <c r="C63" s="6" t="s">
        <v>21</v>
      </c>
      <c r="D63" s="12">
        <f>SUM(D65+D71+D77+D83+D89)</f>
        <v>385386</v>
      </c>
      <c r="E63" s="12">
        <f>SUM(E65+E71+E77+E83+E89)</f>
        <v>384354</v>
      </c>
      <c r="F63" s="12">
        <f>SUM(F65+F71+F77+F83+F89)</f>
        <v>391909.32</v>
      </c>
      <c r="G63" s="12">
        <f aca="true" t="shared" si="25" ref="G63:P63">SUM(G65+G71+G77+G83+G89)</f>
        <v>7672.5</v>
      </c>
      <c r="H63" s="12">
        <f t="shared" si="25"/>
        <v>10732</v>
      </c>
      <c r="I63" s="49">
        <f t="shared" si="25"/>
        <v>8343.65</v>
      </c>
      <c r="J63" s="49">
        <f t="shared" si="25"/>
        <v>84764.53</v>
      </c>
      <c r="K63" s="49">
        <f t="shared" si="25"/>
        <v>41928.399999999994</v>
      </c>
      <c r="L63" s="49">
        <f t="shared" si="25"/>
        <v>16889</v>
      </c>
      <c r="M63" s="49">
        <f t="shared" si="25"/>
        <v>47970.340000000004</v>
      </c>
      <c r="N63" s="49">
        <f t="shared" si="25"/>
        <v>50798</v>
      </c>
      <c r="O63" s="49">
        <f t="shared" si="25"/>
        <v>95473.80000000002</v>
      </c>
      <c r="P63" s="142">
        <f t="shared" si="25"/>
        <v>27337.1</v>
      </c>
    </row>
    <row r="64" spans="1:16" ht="12.75">
      <c r="A64" s="125">
        <v>1</v>
      </c>
      <c r="B64" s="73" t="s">
        <v>60</v>
      </c>
      <c r="C64" s="70"/>
      <c r="D64" s="20"/>
      <c r="E64" s="20"/>
      <c r="F64" s="53"/>
      <c r="G64" s="21"/>
      <c r="H64" s="21"/>
      <c r="I64" s="40"/>
      <c r="J64" s="71"/>
      <c r="K64" s="40"/>
      <c r="L64" s="72"/>
      <c r="M64" s="40"/>
      <c r="N64" s="71"/>
      <c r="O64" s="40"/>
      <c r="P64" s="132"/>
    </row>
    <row r="65" spans="1:16" s="99" customFormat="1" ht="12.75">
      <c r="A65" s="115"/>
      <c r="B65" s="67" t="s">
        <v>61</v>
      </c>
      <c r="C65" s="13" t="s">
        <v>21</v>
      </c>
      <c r="D65" s="15">
        <v>148020</v>
      </c>
      <c r="E65" s="15">
        <v>143067</v>
      </c>
      <c r="F65" s="14">
        <f>SUM(G65:P65)</f>
        <v>143067.35</v>
      </c>
      <c r="G65" s="101">
        <v>5320</v>
      </c>
      <c r="H65" s="101">
        <v>2737</v>
      </c>
      <c r="I65" s="101">
        <v>1403.83</v>
      </c>
      <c r="J65" s="101">
        <v>43893.4</v>
      </c>
      <c r="K65" s="101">
        <v>6203.4</v>
      </c>
      <c r="L65" s="101">
        <v>3460</v>
      </c>
      <c r="M65" s="101">
        <v>6061.720000000001</v>
      </c>
      <c r="N65" s="101">
        <v>13800</v>
      </c>
      <c r="O65" s="101">
        <v>59533.1</v>
      </c>
      <c r="P65" s="143">
        <v>654.9</v>
      </c>
    </row>
    <row r="66" spans="1:16" s="99" customFormat="1" ht="12.75">
      <c r="A66" s="115"/>
      <c r="B66" s="67" t="s">
        <v>62</v>
      </c>
      <c r="C66" s="13" t="s">
        <v>21</v>
      </c>
      <c r="D66" s="15">
        <v>0</v>
      </c>
      <c r="E66" s="15">
        <v>384</v>
      </c>
      <c r="F66" s="14">
        <f>SUM(G66:P66)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43"/>
    </row>
    <row r="67" spans="1:16" s="99" customFormat="1" ht="12.75">
      <c r="A67" s="115"/>
      <c r="B67" s="67" t="s">
        <v>63</v>
      </c>
      <c r="C67" s="13" t="s">
        <v>21</v>
      </c>
      <c r="D67" s="15">
        <v>141711</v>
      </c>
      <c r="E67" s="15">
        <v>138982</v>
      </c>
      <c r="F67" s="14">
        <f>SUM(G67:P67)</f>
        <v>140843.81999999998</v>
      </c>
      <c r="G67" s="101">
        <v>5320</v>
      </c>
      <c r="H67" s="101">
        <v>2737</v>
      </c>
      <c r="I67" s="101">
        <v>1318</v>
      </c>
      <c r="J67" s="101">
        <f>43893-196</f>
        <v>43697</v>
      </c>
      <c r="K67" s="101">
        <f>K65</f>
        <v>6203.4</v>
      </c>
      <c r="L67" s="101">
        <v>3300</v>
      </c>
      <c r="M67" s="101">
        <f>5495.22-24</f>
        <v>5471.22</v>
      </c>
      <c r="N67" s="101">
        <v>15130</v>
      </c>
      <c r="O67" s="101">
        <v>57022.8</v>
      </c>
      <c r="P67" s="143">
        <v>644.4</v>
      </c>
    </row>
    <row r="68" spans="1:16" ht="12.75">
      <c r="A68" s="113"/>
      <c r="B68" s="73" t="s">
        <v>64</v>
      </c>
      <c r="C68" s="70" t="s">
        <v>35</v>
      </c>
      <c r="D68" s="20">
        <v>10.693450861259887</v>
      </c>
      <c r="E68" s="20">
        <v>10.75</v>
      </c>
      <c r="F68" s="102">
        <f>F69/F67*10</f>
        <v>11.010332064567816</v>
      </c>
      <c r="G68" s="21">
        <v>11.347</v>
      </c>
      <c r="H68" s="21">
        <v>8.35</v>
      </c>
      <c r="I68" s="21">
        <v>10.73</v>
      </c>
      <c r="J68" s="71">
        <v>10.06</v>
      </c>
      <c r="K68" s="71">
        <v>10</v>
      </c>
      <c r="L68" s="71">
        <v>10</v>
      </c>
      <c r="M68" s="71">
        <v>11.78</v>
      </c>
      <c r="N68" s="71">
        <v>10</v>
      </c>
      <c r="O68" s="71">
        <v>12.2</v>
      </c>
      <c r="P68" s="144">
        <v>11.359630419331912</v>
      </c>
    </row>
    <row r="69" spans="1:16" ht="12.75">
      <c r="A69" s="113"/>
      <c r="B69" s="73" t="s">
        <v>65</v>
      </c>
      <c r="C69" s="70" t="s">
        <v>23</v>
      </c>
      <c r="D69" s="53">
        <f aca="true" t="shared" si="26" ref="D69:P69">D68*D67/10</f>
        <v>151537.96149999998</v>
      </c>
      <c r="E69" s="53">
        <f t="shared" si="26"/>
        <v>149405.65</v>
      </c>
      <c r="F69" s="53">
        <f>SUM(G69:P69)</f>
        <v>155073.72274422177</v>
      </c>
      <c r="G69" s="53">
        <f t="shared" si="26"/>
        <v>6036.604</v>
      </c>
      <c r="H69" s="53">
        <f t="shared" si="26"/>
        <v>2285.395</v>
      </c>
      <c r="I69" s="53">
        <f t="shared" si="26"/>
        <v>1414.2140000000002</v>
      </c>
      <c r="J69" s="54">
        <f t="shared" si="26"/>
        <v>43959.182</v>
      </c>
      <c r="K69" s="54">
        <f t="shared" si="26"/>
        <v>6203.4</v>
      </c>
      <c r="L69" s="54">
        <f t="shared" si="26"/>
        <v>3300</v>
      </c>
      <c r="M69" s="54">
        <f t="shared" si="26"/>
        <v>6445.097159999999</v>
      </c>
      <c r="N69" s="54">
        <f t="shared" si="26"/>
        <v>15130</v>
      </c>
      <c r="O69" s="54">
        <f t="shared" si="26"/>
        <v>69567.816</v>
      </c>
      <c r="P69" s="122">
        <f t="shared" si="26"/>
        <v>732.0145842217484</v>
      </c>
    </row>
    <row r="70" spans="1:16" ht="12.75">
      <c r="A70" s="125">
        <v>2</v>
      </c>
      <c r="B70" s="3" t="s">
        <v>66</v>
      </c>
      <c r="C70" s="70"/>
      <c r="D70" s="20"/>
      <c r="E70" s="20"/>
      <c r="F70" s="53"/>
      <c r="G70" s="21"/>
      <c r="H70" s="21"/>
      <c r="I70" s="21"/>
      <c r="J70" s="71"/>
      <c r="K70" s="71"/>
      <c r="L70" s="71"/>
      <c r="M70" s="71"/>
      <c r="N70" s="71"/>
      <c r="O70" s="71"/>
      <c r="P70" s="144"/>
    </row>
    <row r="71" spans="1:16" s="99" customFormat="1" ht="12.75">
      <c r="A71" s="115"/>
      <c r="B71" s="67" t="s">
        <v>61</v>
      </c>
      <c r="C71" s="13" t="s">
        <v>21</v>
      </c>
      <c r="D71" s="15">
        <v>14838</v>
      </c>
      <c r="E71" s="15">
        <v>14732</v>
      </c>
      <c r="F71" s="14">
        <f>SUM(G71:P71)</f>
        <v>14731.609999999999</v>
      </c>
      <c r="G71" s="101">
        <v>352</v>
      </c>
      <c r="H71" s="101">
        <v>135</v>
      </c>
      <c r="I71" s="101">
        <v>109.23</v>
      </c>
      <c r="J71" s="101">
        <v>3277.949999999999</v>
      </c>
      <c r="K71" s="101">
        <v>919.8</v>
      </c>
      <c r="L71" s="101">
        <v>860</v>
      </c>
      <c r="M71" s="101">
        <v>188.53</v>
      </c>
      <c r="N71" s="101">
        <v>909</v>
      </c>
      <c r="O71" s="101">
        <v>7964</v>
      </c>
      <c r="P71" s="143">
        <v>16.1</v>
      </c>
    </row>
    <row r="72" spans="1:16" s="99" customFormat="1" ht="12.75">
      <c r="A72" s="115"/>
      <c r="B72" s="67" t="s">
        <v>62</v>
      </c>
      <c r="C72" s="13" t="s">
        <v>21</v>
      </c>
      <c r="D72" s="15"/>
      <c r="E72" s="15">
        <v>606</v>
      </c>
      <c r="F72" s="14">
        <f>SUM(G72:P72)</f>
        <v>0</v>
      </c>
      <c r="G72" s="101">
        <v>0</v>
      </c>
      <c r="H72" s="101">
        <v>0</v>
      </c>
      <c r="I72" s="101">
        <v>0</v>
      </c>
      <c r="J72" s="101"/>
      <c r="K72" s="101"/>
      <c r="L72" s="101"/>
      <c r="M72" s="101">
        <v>0</v>
      </c>
      <c r="N72" s="101">
        <v>0</v>
      </c>
      <c r="O72" s="101"/>
      <c r="P72" s="143">
        <v>0</v>
      </c>
    </row>
    <row r="73" spans="1:16" s="99" customFormat="1" ht="12.75">
      <c r="A73" s="115"/>
      <c r="B73" s="67" t="s">
        <v>63</v>
      </c>
      <c r="C73" s="13" t="s">
        <v>21</v>
      </c>
      <c r="D73" s="15">
        <v>11828</v>
      </c>
      <c r="E73" s="15">
        <v>12152</v>
      </c>
      <c r="F73" s="14">
        <f>SUM(G73:P73)</f>
        <v>12251.609999999999</v>
      </c>
      <c r="G73" s="101">
        <v>352</v>
      </c>
      <c r="H73" s="101">
        <v>135</v>
      </c>
      <c r="I73" s="101">
        <v>109</v>
      </c>
      <c r="J73" s="101">
        <v>2915.56</v>
      </c>
      <c r="K73" s="101">
        <v>720.5</v>
      </c>
      <c r="L73" s="101">
        <v>672</v>
      </c>
      <c r="M73" s="101">
        <v>152.65</v>
      </c>
      <c r="N73" s="101">
        <v>909</v>
      </c>
      <c r="O73" s="101">
        <v>6273</v>
      </c>
      <c r="P73" s="143">
        <v>12.899999999999999</v>
      </c>
    </row>
    <row r="74" spans="1:16" ht="12.75">
      <c r="A74" s="113"/>
      <c r="B74" s="73" t="s">
        <v>67</v>
      </c>
      <c r="C74" s="70" t="s">
        <v>35</v>
      </c>
      <c r="D74" s="20">
        <v>17.074230639161314</v>
      </c>
      <c r="E74" s="20">
        <v>17.074230639161314</v>
      </c>
      <c r="F74" s="102">
        <f>F75/F73*10</f>
        <v>17.135314500607166</v>
      </c>
      <c r="G74" s="101">
        <v>18.960227272727273</v>
      </c>
      <c r="H74" s="101">
        <v>20.6</v>
      </c>
      <c r="I74" s="101">
        <v>21.10091743119266</v>
      </c>
      <c r="J74" s="101">
        <v>15.728554887837586</v>
      </c>
      <c r="K74" s="101">
        <v>11.887376821651632</v>
      </c>
      <c r="L74" s="101">
        <v>14.285714285714286</v>
      </c>
      <c r="M74" s="101">
        <v>15</v>
      </c>
      <c r="N74" s="101">
        <v>16.3</v>
      </c>
      <c r="O74" s="101">
        <v>18.63630958074286</v>
      </c>
      <c r="P74" s="143">
        <v>11.300000000000004</v>
      </c>
    </row>
    <row r="75" spans="1:16" ht="12.75">
      <c r="A75" s="113"/>
      <c r="B75" s="73" t="s">
        <v>65</v>
      </c>
      <c r="C75" s="70" t="s">
        <v>23</v>
      </c>
      <c r="D75" s="53">
        <f aca="true" t="shared" si="27" ref="D75:P75">D74*D73/10</f>
        <v>20195.4</v>
      </c>
      <c r="E75" s="53">
        <f t="shared" si="27"/>
        <v>20748.60507270883</v>
      </c>
      <c r="F75" s="53">
        <f>SUM(G75:P75)</f>
        <v>20993.519048878374</v>
      </c>
      <c r="G75" s="53">
        <f t="shared" si="27"/>
        <v>667.4</v>
      </c>
      <c r="H75" s="53">
        <f t="shared" si="27"/>
        <v>278.1</v>
      </c>
      <c r="I75" s="53">
        <f t="shared" si="27"/>
        <v>230</v>
      </c>
      <c r="J75" s="54">
        <f t="shared" si="27"/>
        <v>4585.754548878374</v>
      </c>
      <c r="K75" s="54">
        <f t="shared" si="27"/>
        <v>856.4855000000001</v>
      </c>
      <c r="L75" s="54">
        <f t="shared" si="27"/>
        <v>960</v>
      </c>
      <c r="M75" s="54">
        <f t="shared" si="27"/>
        <v>228.975</v>
      </c>
      <c r="N75" s="54">
        <f t="shared" si="27"/>
        <v>1481.67</v>
      </c>
      <c r="O75" s="54">
        <f t="shared" si="27"/>
        <v>11690.556999999997</v>
      </c>
      <c r="P75" s="122">
        <f t="shared" si="27"/>
        <v>14.577000000000004</v>
      </c>
    </row>
    <row r="76" spans="1:16" ht="12.75">
      <c r="A76" s="125">
        <v>3</v>
      </c>
      <c r="B76" s="3" t="s">
        <v>68</v>
      </c>
      <c r="C76" s="33"/>
      <c r="D76" s="20"/>
      <c r="E76" s="20"/>
      <c r="F76" s="53"/>
      <c r="G76" s="20"/>
      <c r="H76" s="20"/>
      <c r="I76" s="20"/>
      <c r="J76" s="74"/>
      <c r="K76" s="74"/>
      <c r="L76" s="72"/>
      <c r="M76" s="74"/>
      <c r="N76" s="74"/>
      <c r="O76" s="74"/>
      <c r="P76" s="144"/>
    </row>
    <row r="77" spans="1:16" s="99" customFormat="1" ht="12.75">
      <c r="A77" s="115"/>
      <c r="B77" s="67" t="s">
        <v>61</v>
      </c>
      <c r="C77" s="13" t="s">
        <v>21</v>
      </c>
      <c r="D77" s="15">
        <v>210627</v>
      </c>
      <c r="E77" s="15">
        <v>214897</v>
      </c>
      <c r="F77" s="14">
        <f>SUM(G77:P77)</f>
        <v>222303.13999999998</v>
      </c>
      <c r="G77" s="16">
        <f>1854+G78</f>
        <v>1915</v>
      </c>
      <c r="H77" s="16">
        <f>6767+H78</f>
        <v>7782</v>
      </c>
      <c r="I77" s="16">
        <f>5380.68+I78</f>
        <v>5980.68</v>
      </c>
      <c r="J77" s="38">
        <f>34868+J78</f>
        <v>35730</v>
      </c>
      <c r="K77" s="38">
        <f>30052+K78</f>
        <v>31124</v>
      </c>
      <c r="L77" s="39">
        <f>9855+L78</f>
        <v>10572</v>
      </c>
      <c r="M77" s="38">
        <f>39415.16+M78</f>
        <v>40189.16</v>
      </c>
      <c r="N77" s="38">
        <f>34708+N78</f>
        <v>35553</v>
      </c>
      <c r="O77" s="38">
        <f>25842.8+O78</f>
        <v>26942.8</v>
      </c>
      <c r="P77" s="131">
        <f>26154.5+P78</f>
        <v>26514.5</v>
      </c>
    </row>
    <row r="78" spans="1:16" s="99" customFormat="1" ht="12.75">
      <c r="A78" s="115"/>
      <c r="B78" s="67" t="s">
        <v>62</v>
      </c>
      <c r="C78" s="13" t="s">
        <v>21</v>
      </c>
      <c r="D78" s="15">
        <v>7600</v>
      </c>
      <c r="E78" s="15">
        <v>26626</v>
      </c>
      <c r="F78" s="14">
        <f>SUM(G78:P78)</f>
        <v>7406</v>
      </c>
      <c r="G78" s="16">
        <v>61</v>
      </c>
      <c r="H78" s="16">
        <v>1015</v>
      </c>
      <c r="I78" s="16">
        <v>600</v>
      </c>
      <c r="J78" s="16">
        <v>862</v>
      </c>
      <c r="K78" s="16">
        <v>1072</v>
      </c>
      <c r="L78" s="16">
        <v>717</v>
      </c>
      <c r="M78" s="16">
        <v>774</v>
      </c>
      <c r="N78" s="16">
        <v>845</v>
      </c>
      <c r="O78" s="16">
        <v>1100</v>
      </c>
      <c r="P78" s="124">
        <v>360</v>
      </c>
    </row>
    <row r="79" spans="1:16" s="99" customFormat="1" ht="12.75">
      <c r="A79" s="115"/>
      <c r="B79" s="67" t="s">
        <v>63</v>
      </c>
      <c r="C79" s="13" t="s">
        <v>21</v>
      </c>
      <c r="D79" s="15">
        <v>118591</v>
      </c>
      <c r="E79" s="15">
        <v>126632.1</v>
      </c>
      <c r="F79" s="14">
        <f>SUM(G79:P79)</f>
        <v>140247.18</v>
      </c>
      <c r="G79" s="15">
        <v>1505.4</v>
      </c>
      <c r="H79" s="15">
        <v>4457</v>
      </c>
      <c r="I79" s="16">
        <v>3691.5299999999997</v>
      </c>
      <c r="J79" s="75">
        <v>25317.45</v>
      </c>
      <c r="K79" s="38">
        <v>16505</v>
      </c>
      <c r="L79" s="39">
        <v>5905</v>
      </c>
      <c r="M79" s="38">
        <v>26405</v>
      </c>
      <c r="N79" s="75">
        <v>25281</v>
      </c>
      <c r="O79" s="38">
        <v>10492</v>
      </c>
      <c r="P79" s="131">
        <v>20687.8</v>
      </c>
    </row>
    <row r="80" spans="1:16" ht="12.75">
      <c r="A80" s="113"/>
      <c r="B80" s="73" t="s">
        <v>64</v>
      </c>
      <c r="C80" s="70" t="s">
        <v>35</v>
      </c>
      <c r="D80" s="20">
        <v>19.423703957298613</v>
      </c>
      <c r="E80" s="20">
        <v>19.5</v>
      </c>
      <c r="F80" s="102">
        <f>F81/F79*10</f>
        <v>19.607207588612432</v>
      </c>
      <c r="G80" s="21">
        <v>18.270678889331737</v>
      </c>
      <c r="H80" s="21">
        <v>20.136728741305813</v>
      </c>
      <c r="I80" s="21">
        <v>19.36866285794779</v>
      </c>
      <c r="J80" s="71">
        <v>21.77477680314491</v>
      </c>
      <c r="K80" s="71">
        <v>19.577543123664597</v>
      </c>
      <c r="L80" s="71">
        <v>19.67584097859327</v>
      </c>
      <c r="M80" s="71">
        <v>19.12436835357116</v>
      </c>
      <c r="N80" s="71">
        <v>18.534228343267173</v>
      </c>
      <c r="O80" s="71">
        <v>19.43342600513259</v>
      </c>
      <c r="P80" s="144">
        <v>19</v>
      </c>
    </row>
    <row r="81" spans="1:16" ht="12.75">
      <c r="A81" s="113"/>
      <c r="B81" s="73" t="s">
        <v>69</v>
      </c>
      <c r="C81" s="70" t="s">
        <v>23</v>
      </c>
      <c r="D81" s="53">
        <f aca="true" t="shared" si="28" ref="D81:P81">D80*D79/10</f>
        <v>230347.64759999997</v>
      </c>
      <c r="E81" s="53">
        <f t="shared" si="28"/>
        <v>246932.59500000003</v>
      </c>
      <c r="F81" s="53">
        <f>SUM(G81:P81)</f>
        <v>274985.5571977494</v>
      </c>
      <c r="G81" s="53">
        <f t="shared" si="28"/>
        <v>2750.468</v>
      </c>
      <c r="H81" s="53">
        <f t="shared" si="28"/>
        <v>8974.94</v>
      </c>
      <c r="I81" s="53">
        <f t="shared" si="28"/>
        <v>7150</v>
      </c>
      <c r="J81" s="54">
        <f t="shared" si="28"/>
        <v>55128.18229747812</v>
      </c>
      <c r="K81" s="54">
        <f t="shared" si="28"/>
        <v>32312.73492560842</v>
      </c>
      <c r="L81" s="54">
        <f t="shared" si="28"/>
        <v>11618.584097859326</v>
      </c>
      <c r="M81" s="54">
        <f t="shared" si="28"/>
        <v>50497.89463760465</v>
      </c>
      <c r="N81" s="54">
        <f t="shared" si="28"/>
        <v>46856.38267461374</v>
      </c>
      <c r="O81" s="54">
        <f t="shared" si="28"/>
        <v>20389.55056458511</v>
      </c>
      <c r="P81" s="122">
        <f t="shared" si="28"/>
        <v>39306.82</v>
      </c>
    </row>
    <row r="82" spans="1:16" ht="12.75">
      <c r="A82" s="125">
        <v>4</v>
      </c>
      <c r="B82" s="3" t="s">
        <v>70</v>
      </c>
      <c r="C82" s="70"/>
      <c r="D82" s="20"/>
      <c r="E82" s="20"/>
      <c r="F82" s="53"/>
      <c r="G82" s="58"/>
      <c r="H82" s="58"/>
      <c r="I82" s="26"/>
      <c r="J82" s="59"/>
      <c r="K82" s="59"/>
      <c r="L82" s="72"/>
      <c r="M82" s="40"/>
      <c r="N82" s="59"/>
      <c r="O82" s="40"/>
      <c r="P82" s="132"/>
    </row>
    <row r="83" spans="1:16" s="99" customFormat="1" ht="12.75">
      <c r="A83" s="115"/>
      <c r="B83" s="67" t="s">
        <v>61</v>
      </c>
      <c r="C83" s="13" t="s">
        <v>21</v>
      </c>
      <c r="D83" s="15">
        <v>10486</v>
      </c>
      <c r="E83" s="15">
        <v>10257</v>
      </c>
      <c r="F83" s="14">
        <f>SUM(G83:P83)</f>
        <v>10256.509999999998</v>
      </c>
      <c r="G83" s="101">
        <v>57.5</v>
      </c>
      <c r="H83" s="101">
        <v>57</v>
      </c>
      <c r="I83" s="101">
        <v>783.28</v>
      </c>
      <c r="J83" s="101">
        <v>1405.8999999999999</v>
      </c>
      <c r="K83" s="101">
        <v>3644.2</v>
      </c>
      <c r="L83" s="101">
        <v>1958</v>
      </c>
      <c r="M83" s="101">
        <v>1514.7300000000002</v>
      </c>
      <c r="N83" s="101">
        <v>233</v>
      </c>
      <c r="O83" s="101">
        <v>451.3</v>
      </c>
      <c r="P83" s="143">
        <v>151.6</v>
      </c>
    </row>
    <row r="84" spans="1:16" s="99" customFormat="1" ht="12.75">
      <c r="A84" s="115"/>
      <c r="B84" s="67" t="s">
        <v>62</v>
      </c>
      <c r="C84" s="13" t="s">
        <v>21</v>
      </c>
      <c r="D84" s="15">
        <v>0</v>
      </c>
      <c r="E84" s="15">
        <v>602</v>
      </c>
      <c r="F84" s="14">
        <f>SUM(G84:P84)</f>
        <v>0</v>
      </c>
      <c r="G84" s="16"/>
      <c r="H84" s="16"/>
      <c r="I84" s="16"/>
      <c r="J84" s="38"/>
      <c r="K84" s="38"/>
      <c r="L84" s="38"/>
      <c r="M84" s="38"/>
      <c r="N84" s="38"/>
      <c r="O84" s="38"/>
      <c r="P84" s="131"/>
    </row>
    <row r="85" spans="1:16" s="99" customFormat="1" ht="12.75">
      <c r="A85" s="115"/>
      <c r="B85" s="67" t="s">
        <v>63</v>
      </c>
      <c r="C85" s="13" t="s">
        <v>21</v>
      </c>
      <c r="D85" s="15">
        <v>8865</v>
      </c>
      <c r="E85" s="15">
        <v>8788</v>
      </c>
      <c r="F85" s="14">
        <f>SUM(G85:P85)</f>
        <v>9086.66</v>
      </c>
      <c r="G85" s="16">
        <v>52.3</v>
      </c>
      <c r="H85" s="16">
        <v>55</v>
      </c>
      <c r="I85" s="16">
        <v>698.38</v>
      </c>
      <c r="J85" s="38">
        <v>1114.95</v>
      </c>
      <c r="K85" s="38">
        <v>3306.7</v>
      </c>
      <c r="L85" s="39">
        <v>1721</v>
      </c>
      <c r="M85" s="38">
        <v>1354.33</v>
      </c>
      <c r="N85" s="38">
        <v>233</v>
      </c>
      <c r="O85" s="38">
        <v>417.8</v>
      </c>
      <c r="P85" s="131">
        <v>133.2</v>
      </c>
    </row>
    <row r="86" spans="1:16" ht="12.75">
      <c r="A86" s="113"/>
      <c r="B86" s="73" t="s">
        <v>64</v>
      </c>
      <c r="C86" s="70" t="s">
        <v>35</v>
      </c>
      <c r="D86" s="20">
        <v>27.996586576424143</v>
      </c>
      <c r="E86" s="21">
        <v>28.9</v>
      </c>
      <c r="F86" s="102">
        <f>F87/F85*10</f>
        <v>28.940160923123614</v>
      </c>
      <c r="G86" s="21">
        <v>25.430210325047803</v>
      </c>
      <c r="H86" s="21">
        <v>26.727272727272727</v>
      </c>
      <c r="I86" s="21">
        <v>21.5</v>
      </c>
      <c r="J86" s="71">
        <v>25.32378818514673</v>
      </c>
      <c r="K86" s="71">
        <v>32.94825656999426</v>
      </c>
      <c r="L86" s="71">
        <v>32.30721776681061</v>
      </c>
      <c r="M86" s="71">
        <v>19.427999999999997</v>
      </c>
      <c r="N86" s="71">
        <v>31.716738197424892</v>
      </c>
      <c r="O86" s="71">
        <v>26.84736716132121</v>
      </c>
      <c r="P86" s="144">
        <v>55.93093093093094</v>
      </c>
    </row>
    <row r="87" spans="1:16" ht="12.75">
      <c r="A87" s="145"/>
      <c r="B87" s="73" t="s">
        <v>65</v>
      </c>
      <c r="C87" s="70" t="s">
        <v>23</v>
      </c>
      <c r="D87" s="53">
        <f aca="true" t="shared" si="29" ref="D87:P87">D86*D85/10</f>
        <v>24818.974000000002</v>
      </c>
      <c r="E87" s="53">
        <f t="shared" si="29"/>
        <v>25397.32</v>
      </c>
      <c r="F87" s="53">
        <f>SUM(G87:P87)</f>
        <v>26296.940265371042</v>
      </c>
      <c r="G87" s="53">
        <f t="shared" si="29"/>
        <v>133</v>
      </c>
      <c r="H87" s="53">
        <f t="shared" si="29"/>
        <v>147</v>
      </c>
      <c r="I87" s="53">
        <f t="shared" si="29"/>
        <v>1501.517</v>
      </c>
      <c r="J87" s="54">
        <f t="shared" si="29"/>
        <v>2823.4757637029347</v>
      </c>
      <c r="K87" s="54">
        <f t="shared" si="29"/>
        <v>10895</v>
      </c>
      <c r="L87" s="54">
        <f t="shared" si="29"/>
        <v>5560.072177668106</v>
      </c>
      <c r="M87" s="54">
        <f t="shared" si="29"/>
        <v>2631.1923239999996</v>
      </c>
      <c r="N87" s="54">
        <f t="shared" si="29"/>
        <v>739</v>
      </c>
      <c r="O87" s="54">
        <f t="shared" si="29"/>
        <v>1121.6830000000002</v>
      </c>
      <c r="P87" s="122">
        <f t="shared" si="29"/>
        <v>745.0000000000001</v>
      </c>
    </row>
    <row r="88" spans="1:16" ht="12.75">
      <c r="A88" s="113">
        <v>5</v>
      </c>
      <c r="B88" s="3" t="s">
        <v>71</v>
      </c>
      <c r="C88" s="76"/>
      <c r="D88" s="20"/>
      <c r="E88" s="20"/>
      <c r="F88" s="53"/>
      <c r="G88" s="29"/>
      <c r="H88" s="29"/>
      <c r="I88" s="26"/>
      <c r="J88" s="42"/>
      <c r="K88" s="40"/>
      <c r="L88" s="60"/>
      <c r="M88" s="40"/>
      <c r="N88" s="42"/>
      <c r="O88" s="40"/>
      <c r="P88" s="132"/>
    </row>
    <row r="89" spans="1:16" s="99" customFormat="1" ht="12.75">
      <c r="A89" s="123"/>
      <c r="B89" s="67" t="s">
        <v>61</v>
      </c>
      <c r="C89" s="13" t="s">
        <v>21</v>
      </c>
      <c r="D89" s="15">
        <v>1415</v>
      </c>
      <c r="E89" s="15">
        <v>1401</v>
      </c>
      <c r="F89" s="14">
        <f>SUM(G89:P89)</f>
        <v>1550.71</v>
      </c>
      <c r="G89" s="101">
        <v>28</v>
      </c>
      <c r="H89" s="101">
        <v>21</v>
      </c>
      <c r="I89" s="101">
        <v>66.63</v>
      </c>
      <c r="J89" s="101">
        <f>407.28+J90</f>
        <v>457.28</v>
      </c>
      <c r="K89" s="101">
        <v>37</v>
      </c>
      <c r="L89" s="101">
        <v>39</v>
      </c>
      <c r="M89" s="101">
        <v>16.2</v>
      </c>
      <c r="N89" s="101">
        <f>253+N90</f>
        <v>303</v>
      </c>
      <c r="O89" s="101">
        <f>532.6+O90</f>
        <v>582.6</v>
      </c>
      <c r="P89" s="143">
        <v>0</v>
      </c>
    </row>
    <row r="90" spans="1:16" s="99" customFormat="1" ht="12.75">
      <c r="A90" s="123"/>
      <c r="B90" s="67" t="s">
        <v>62</v>
      </c>
      <c r="C90" s="13" t="s">
        <v>21</v>
      </c>
      <c r="D90" s="15">
        <v>150</v>
      </c>
      <c r="E90" s="15">
        <v>313</v>
      </c>
      <c r="F90" s="14">
        <f>SUM(G90:P90)</f>
        <v>150</v>
      </c>
      <c r="G90" s="101">
        <v>0</v>
      </c>
      <c r="H90" s="101"/>
      <c r="I90" s="101"/>
      <c r="J90" s="101">
        <v>50</v>
      </c>
      <c r="K90" s="101"/>
      <c r="L90" s="101"/>
      <c r="M90" s="101"/>
      <c r="N90" s="101">
        <v>50</v>
      </c>
      <c r="O90" s="101">
        <v>50</v>
      </c>
      <c r="P90" s="143">
        <v>0</v>
      </c>
    </row>
    <row r="91" spans="1:16" s="99" customFormat="1" ht="12.75">
      <c r="A91" s="123"/>
      <c r="B91" s="67" t="s">
        <v>63</v>
      </c>
      <c r="C91" s="13" t="s">
        <v>21</v>
      </c>
      <c r="D91" s="15">
        <v>615</v>
      </c>
      <c r="E91" s="15">
        <v>832</v>
      </c>
      <c r="F91" s="14">
        <f>SUM(G91:P91)</f>
        <v>931.7</v>
      </c>
      <c r="G91" s="101">
        <v>17</v>
      </c>
      <c r="H91" s="101">
        <v>0</v>
      </c>
      <c r="I91" s="101">
        <v>23</v>
      </c>
      <c r="J91" s="101">
        <v>164.7</v>
      </c>
      <c r="K91" s="101">
        <v>35</v>
      </c>
      <c r="L91" s="101">
        <v>26</v>
      </c>
      <c r="M91" s="101">
        <v>0</v>
      </c>
      <c r="N91" s="101">
        <v>200</v>
      </c>
      <c r="O91" s="101">
        <v>466</v>
      </c>
      <c r="P91" s="143">
        <v>0</v>
      </c>
    </row>
    <row r="92" spans="1:16" ht="12.75">
      <c r="A92" s="125"/>
      <c r="B92" s="73" t="s">
        <v>64</v>
      </c>
      <c r="C92" s="70" t="s">
        <v>35</v>
      </c>
      <c r="D92" s="20">
        <v>11.707317073170733</v>
      </c>
      <c r="E92" s="20">
        <v>11.707317073170733</v>
      </c>
      <c r="F92" s="102">
        <f>F93/F91*10</f>
        <v>12.26649346667996</v>
      </c>
      <c r="G92" s="103">
        <v>12</v>
      </c>
      <c r="H92" s="103"/>
      <c r="I92" s="103">
        <v>13.043478260869566</v>
      </c>
      <c r="J92" s="103">
        <v>8.115919629057185</v>
      </c>
      <c r="K92" s="103">
        <v>10</v>
      </c>
      <c r="L92" s="103">
        <v>14.615384615384615</v>
      </c>
      <c r="M92" s="103"/>
      <c r="N92" s="103">
        <v>14</v>
      </c>
      <c r="O92" s="103">
        <v>13</v>
      </c>
      <c r="P92" s="146"/>
    </row>
    <row r="93" spans="1:16" ht="12.75">
      <c r="A93" s="125"/>
      <c r="B93" s="73" t="s">
        <v>65</v>
      </c>
      <c r="C93" s="70" t="s">
        <v>23</v>
      </c>
      <c r="D93" s="53">
        <f aca="true" t="shared" si="30" ref="D93:P93">D92*D91/10</f>
        <v>720.0000000000001</v>
      </c>
      <c r="E93" s="53">
        <f t="shared" si="30"/>
        <v>974.0487804878051</v>
      </c>
      <c r="F93" s="53">
        <f>SUM(G93:P93)</f>
        <v>1142.8691962905718</v>
      </c>
      <c r="G93" s="53">
        <f t="shared" si="30"/>
        <v>20.4</v>
      </c>
      <c r="H93" s="53">
        <f t="shared" si="30"/>
        <v>0</v>
      </c>
      <c r="I93" s="53">
        <f t="shared" si="30"/>
        <v>30</v>
      </c>
      <c r="J93" s="54">
        <f t="shared" si="30"/>
        <v>133.66919629057185</v>
      </c>
      <c r="K93" s="54">
        <f t="shared" si="30"/>
        <v>35</v>
      </c>
      <c r="L93" s="54">
        <f t="shared" si="30"/>
        <v>38</v>
      </c>
      <c r="M93" s="54">
        <f t="shared" si="30"/>
        <v>0</v>
      </c>
      <c r="N93" s="54">
        <f t="shared" si="30"/>
        <v>280</v>
      </c>
      <c r="O93" s="54">
        <f t="shared" si="30"/>
        <v>605.8</v>
      </c>
      <c r="P93" s="122">
        <f t="shared" si="30"/>
        <v>0</v>
      </c>
    </row>
    <row r="94" spans="1:16" ht="12.75">
      <c r="A94" s="147" t="s">
        <v>42</v>
      </c>
      <c r="B94" s="3" t="s">
        <v>72</v>
      </c>
      <c r="C94" s="65"/>
      <c r="D94" s="48">
        <f>D96+D102+D108+D114+D120+D126+D132+D138-1240</f>
        <v>5543</v>
      </c>
      <c r="E94" s="48">
        <f>SUM(E96+E102+E108+E114+E120+E126+E132+E138)</f>
        <v>6820</v>
      </c>
      <c r="F94" s="48">
        <f>SUM(F96+F102+F108+F114+F120+F126+F132+F138)</f>
        <v>6159.254444444445</v>
      </c>
      <c r="G94" s="48">
        <f aca="true" t="shared" si="31" ref="G94:P94">SUM(G96+G102+G108+G114+G120+G126+G132+G138)</f>
        <v>178.10000000000002</v>
      </c>
      <c r="H94" s="48">
        <f t="shared" si="31"/>
        <v>243</v>
      </c>
      <c r="I94" s="48">
        <f t="shared" si="31"/>
        <v>915.22</v>
      </c>
      <c r="J94" s="48">
        <f t="shared" si="31"/>
        <v>312.64444444444445</v>
      </c>
      <c r="K94" s="48">
        <f t="shared" si="31"/>
        <v>595.1499999999999</v>
      </c>
      <c r="L94" s="48">
        <f t="shared" si="31"/>
        <v>513</v>
      </c>
      <c r="M94" s="48">
        <f t="shared" si="31"/>
        <v>1316.48</v>
      </c>
      <c r="N94" s="48">
        <f t="shared" si="31"/>
        <v>1148</v>
      </c>
      <c r="O94" s="48">
        <f t="shared" si="31"/>
        <v>565.36</v>
      </c>
      <c r="P94" s="135">
        <f t="shared" si="31"/>
        <v>372.3</v>
      </c>
    </row>
    <row r="95" spans="1:16" ht="12.75">
      <c r="A95" s="147">
        <v>1</v>
      </c>
      <c r="B95" s="3" t="s">
        <v>73</v>
      </c>
      <c r="C95" s="70"/>
      <c r="D95" s="20"/>
      <c r="E95" s="20"/>
      <c r="F95" s="20"/>
      <c r="G95" s="20"/>
      <c r="H95" s="20"/>
      <c r="I95" s="20"/>
      <c r="J95" s="74"/>
      <c r="K95" s="74"/>
      <c r="L95" s="60"/>
      <c r="M95" s="74"/>
      <c r="N95" s="74"/>
      <c r="O95" s="74"/>
      <c r="P95" s="144"/>
    </row>
    <row r="96" spans="1:16" s="99" customFormat="1" ht="12.75">
      <c r="A96" s="148"/>
      <c r="B96" s="67" t="s">
        <v>61</v>
      </c>
      <c r="C96" s="13" t="s">
        <v>21</v>
      </c>
      <c r="D96" s="15">
        <v>717</v>
      </c>
      <c r="E96" s="15">
        <v>294</v>
      </c>
      <c r="F96" s="14">
        <f aca="true" t="shared" si="32" ref="F96:F159">SUM(G96:P96)</f>
        <v>294.24444444444447</v>
      </c>
      <c r="G96" s="101">
        <v>0</v>
      </c>
      <c r="H96" s="101">
        <v>36</v>
      </c>
      <c r="I96" s="101">
        <v>58.4</v>
      </c>
      <c r="J96" s="101">
        <v>10.394444444444446</v>
      </c>
      <c r="K96" s="101">
        <v>43</v>
      </c>
      <c r="L96" s="101">
        <v>14</v>
      </c>
      <c r="M96" s="101">
        <v>55.050000000000004</v>
      </c>
      <c r="N96" s="101">
        <v>0</v>
      </c>
      <c r="O96" s="101">
        <v>33</v>
      </c>
      <c r="P96" s="143">
        <v>44.4</v>
      </c>
    </row>
    <row r="97" spans="1:16" s="99" customFormat="1" ht="12.75">
      <c r="A97" s="149"/>
      <c r="B97" s="67" t="s">
        <v>62</v>
      </c>
      <c r="C97" s="13" t="s">
        <v>21</v>
      </c>
      <c r="D97" s="15">
        <v>83</v>
      </c>
      <c r="E97" s="15">
        <v>5</v>
      </c>
      <c r="F97" s="14"/>
      <c r="G97" s="101"/>
      <c r="H97" s="101"/>
      <c r="I97" s="101"/>
      <c r="J97" s="101"/>
      <c r="K97" s="101"/>
      <c r="L97" s="101"/>
      <c r="M97" s="101"/>
      <c r="N97" s="101"/>
      <c r="O97" s="101"/>
      <c r="P97" s="143"/>
    </row>
    <row r="98" spans="1:16" s="99" customFormat="1" ht="12.75">
      <c r="A98" s="149"/>
      <c r="B98" s="67" t="s">
        <v>63</v>
      </c>
      <c r="C98" s="13" t="s">
        <v>21</v>
      </c>
      <c r="D98" s="15">
        <v>555</v>
      </c>
      <c r="E98" s="15">
        <v>224</v>
      </c>
      <c r="F98" s="14">
        <f t="shared" si="32"/>
        <v>224.09444444444443</v>
      </c>
      <c r="G98" s="101">
        <v>0</v>
      </c>
      <c r="H98" s="101">
        <v>36</v>
      </c>
      <c r="I98" s="101">
        <v>30</v>
      </c>
      <c r="J98" s="101">
        <v>10.394444444444446</v>
      </c>
      <c r="K98" s="101">
        <v>36.6</v>
      </c>
      <c r="L98" s="101">
        <v>11</v>
      </c>
      <c r="M98" s="101">
        <v>44</v>
      </c>
      <c r="N98" s="101">
        <v>0</v>
      </c>
      <c r="O98" s="101">
        <v>25.9</v>
      </c>
      <c r="P98" s="143">
        <v>30.2</v>
      </c>
    </row>
    <row r="99" spans="1:16" ht="12.75">
      <c r="A99" s="145"/>
      <c r="B99" s="18" t="s">
        <v>64</v>
      </c>
      <c r="C99" s="70" t="s">
        <v>35</v>
      </c>
      <c r="D99" s="20">
        <v>33.53</v>
      </c>
      <c r="E99" s="20">
        <v>33.53</v>
      </c>
      <c r="F99" s="102">
        <f>F100/F98*10</f>
        <v>33.85569873813125</v>
      </c>
      <c r="G99" s="103"/>
      <c r="H99" s="103">
        <v>33</v>
      </c>
      <c r="I99" s="103">
        <v>35</v>
      </c>
      <c r="J99" s="103">
        <v>36</v>
      </c>
      <c r="K99" s="103">
        <v>26.389999999999997</v>
      </c>
      <c r="L99" s="103">
        <v>33</v>
      </c>
      <c r="M99" s="103">
        <v>40</v>
      </c>
      <c r="N99" s="103"/>
      <c r="O99" s="103">
        <v>32</v>
      </c>
      <c r="P99" s="146">
        <v>35</v>
      </c>
    </row>
    <row r="100" spans="1:16" ht="12.75">
      <c r="A100" s="145"/>
      <c r="B100" s="77" t="s">
        <v>74</v>
      </c>
      <c r="C100" s="70" t="s">
        <v>23</v>
      </c>
      <c r="D100" s="78">
        <f aca="true" t="shared" si="33" ref="D100:P100">D99*D98/10</f>
        <v>1860.9150000000002</v>
      </c>
      <c r="E100" s="78">
        <f t="shared" si="33"/>
        <v>751.072</v>
      </c>
      <c r="F100" s="53">
        <f>SUM(G100:P100)</f>
        <v>758.6874000000001</v>
      </c>
      <c r="G100" s="78">
        <f t="shared" si="33"/>
        <v>0</v>
      </c>
      <c r="H100" s="78">
        <f t="shared" si="33"/>
        <v>118.8</v>
      </c>
      <c r="I100" s="78">
        <f t="shared" si="33"/>
        <v>105</v>
      </c>
      <c r="J100" s="79">
        <f t="shared" si="33"/>
        <v>37.42</v>
      </c>
      <c r="K100" s="79">
        <f t="shared" si="33"/>
        <v>96.58739999999999</v>
      </c>
      <c r="L100" s="79">
        <f t="shared" si="33"/>
        <v>36.3</v>
      </c>
      <c r="M100" s="79">
        <f t="shared" si="33"/>
        <v>176</v>
      </c>
      <c r="N100" s="79">
        <f t="shared" si="33"/>
        <v>0</v>
      </c>
      <c r="O100" s="79">
        <f t="shared" si="33"/>
        <v>82.88</v>
      </c>
      <c r="P100" s="150">
        <f t="shared" si="33"/>
        <v>105.7</v>
      </c>
    </row>
    <row r="101" spans="1:16" ht="12.75">
      <c r="A101" s="147">
        <v>2</v>
      </c>
      <c r="B101" s="3" t="s">
        <v>75</v>
      </c>
      <c r="C101" s="70"/>
      <c r="D101" s="20"/>
      <c r="E101" s="20"/>
      <c r="F101" s="53"/>
      <c r="G101" s="58"/>
      <c r="H101" s="58"/>
      <c r="I101" s="26"/>
      <c r="J101" s="59"/>
      <c r="K101" s="40"/>
      <c r="L101" s="60"/>
      <c r="M101" s="40"/>
      <c r="N101" s="59"/>
      <c r="O101" s="40"/>
      <c r="P101" s="132"/>
    </row>
    <row r="102" spans="1:16" s="99" customFormat="1" ht="12.75">
      <c r="A102" s="123"/>
      <c r="B102" s="67" t="s">
        <v>76</v>
      </c>
      <c r="C102" s="13" t="s">
        <v>21</v>
      </c>
      <c r="D102" s="15">
        <v>863</v>
      </c>
      <c r="E102" s="15">
        <v>876</v>
      </c>
      <c r="F102" s="14">
        <f>SUM(G102:P102)</f>
        <v>876.16</v>
      </c>
      <c r="G102" s="101">
        <v>11.7</v>
      </c>
      <c r="H102" s="101">
        <v>33</v>
      </c>
      <c r="I102" s="101">
        <v>51.27</v>
      </c>
      <c r="J102" s="101">
        <v>45.65</v>
      </c>
      <c r="K102" s="101">
        <v>117.2</v>
      </c>
      <c r="L102" s="101">
        <v>61</v>
      </c>
      <c r="M102" s="101">
        <v>307.74</v>
      </c>
      <c r="N102" s="101">
        <v>166</v>
      </c>
      <c r="O102" s="101">
        <v>19.6</v>
      </c>
      <c r="P102" s="143">
        <v>63</v>
      </c>
    </row>
    <row r="103" spans="1:16" s="99" customFormat="1" ht="12.75">
      <c r="A103" s="123"/>
      <c r="B103" s="67" t="s">
        <v>77</v>
      </c>
      <c r="C103" s="13" t="s">
        <v>21</v>
      </c>
      <c r="D103" s="15">
        <v>50</v>
      </c>
      <c r="E103" s="15">
        <v>17</v>
      </c>
      <c r="F103" s="14">
        <f t="shared" si="32"/>
        <v>0</v>
      </c>
      <c r="G103" s="101"/>
      <c r="H103" s="101"/>
      <c r="I103" s="101"/>
      <c r="J103" s="101"/>
      <c r="K103" s="101"/>
      <c r="L103" s="101"/>
      <c r="M103" s="101"/>
      <c r="N103" s="101"/>
      <c r="O103" s="101"/>
      <c r="P103" s="143"/>
    </row>
    <row r="104" spans="1:16" s="99" customFormat="1" ht="12.75">
      <c r="A104" s="115"/>
      <c r="B104" s="67" t="s">
        <v>78</v>
      </c>
      <c r="C104" s="13" t="s">
        <v>21</v>
      </c>
      <c r="D104" s="15">
        <v>715</v>
      </c>
      <c r="E104" s="15">
        <v>715</v>
      </c>
      <c r="F104" s="14">
        <f t="shared" si="32"/>
        <v>714.89</v>
      </c>
      <c r="G104" s="101">
        <v>11.7</v>
      </c>
      <c r="H104" s="101">
        <v>27.1</v>
      </c>
      <c r="I104" s="101">
        <v>32.27</v>
      </c>
      <c r="J104" s="101">
        <v>44.05</v>
      </c>
      <c r="K104" s="101">
        <v>106.5</v>
      </c>
      <c r="L104" s="101">
        <v>39</v>
      </c>
      <c r="M104" s="101">
        <v>234.67</v>
      </c>
      <c r="N104" s="101">
        <v>137</v>
      </c>
      <c r="O104" s="101">
        <v>19.6</v>
      </c>
      <c r="P104" s="143">
        <v>63</v>
      </c>
    </row>
    <row r="105" spans="1:16" ht="12.75">
      <c r="A105" s="125"/>
      <c r="B105" s="18" t="s">
        <v>64</v>
      </c>
      <c r="C105" s="70" t="s">
        <v>35</v>
      </c>
      <c r="D105" s="20">
        <v>33.3986013986014</v>
      </c>
      <c r="E105" s="20">
        <v>33.3986013986014</v>
      </c>
      <c r="F105" s="102">
        <f>F106/F104*10</f>
        <v>34.91991621088559</v>
      </c>
      <c r="G105" s="103">
        <v>32</v>
      </c>
      <c r="H105" s="103">
        <v>33.5</v>
      </c>
      <c r="I105" s="103">
        <v>30</v>
      </c>
      <c r="J105" s="103">
        <v>34.759364358683314</v>
      </c>
      <c r="K105" s="103">
        <v>31.9</v>
      </c>
      <c r="L105" s="103">
        <v>38.97435897435897</v>
      </c>
      <c r="M105" s="103">
        <v>43.67</v>
      </c>
      <c r="N105" s="103">
        <v>29.01</v>
      </c>
      <c r="O105" s="103">
        <v>29.77755102040816</v>
      </c>
      <c r="P105" s="146">
        <v>23.158730158730158</v>
      </c>
    </row>
    <row r="106" spans="1:16" ht="12.75">
      <c r="A106" s="125"/>
      <c r="B106" s="77" t="s">
        <v>74</v>
      </c>
      <c r="C106" s="70" t="s">
        <v>23</v>
      </c>
      <c r="D106" s="78">
        <f aca="true" t="shared" si="34" ref="D106:P106">D105*D104/10</f>
        <v>2388</v>
      </c>
      <c r="E106" s="78">
        <f t="shared" si="34"/>
        <v>2388</v>
      </c>
      <c r="F106" s="53">
        <f>SUM(G106:P106)</f>
        <v>2496.38989</v>
      </c>
      <c r="G106" s="78">
        <f t="shared" si="34"/>
        <v>37.44</v>
      </c>
      <c r="H106" s="78">
        <f t="shared" si="34"/>
        <v>90.785</v>
      </c>
      <c r="I106" s="78">
        <f t="shared" si="34"/>
        <v>96.81000000000002</v>
      </c>
      <c r="J106" s="79">
        <f t="shared" si="34"/>
        <v>153.11499999999998</v>
      </c>
      <c r="K106" s="79">
        <f t="shared" si="34"/>
        <v>339.735</v>
      </c>
      <c r="L106" s="79">
        <f t="shared" si="34"/>
        <v>151.99999999999997</v>
      </c>
      <c r="M106" s="79">
        <f t="shared" si="34"/>
        <v>1024.80389</v>
      </c>
      <c r="N106" s="79">
        <f t="shared" si="34"/>
        <v>397.437</v>
      </c>
      <c r="O106" s="79">
        <f t="shared" si="34"/>
        <v>58.364</v>
      </c>
      <c r="P106" s="150">
        <f t="shared" si="34"/>
        <v>145.9</v>
      </c>
    </row>
    <row r="107" spans="1:16" ht="12.75">
      <c r="A107" s="113">
        <v>3</v>
      </c>
      <c r="B107" s="3" t="s">
        <v>79</v>
      </c>
      <c r="C107" s="70"/>
      <c r="D107" s="20"/>
      <c r="E107" s="20"/>
      <c r="F107" s="53"/>
      <c r="G107" s="58"/>
      <c r="H107" s="58"/>
      <c r="I107" s="26"/>
      <c r="J107" s="59"/>
      <c r="K107" s="40"/>
      <c r="L107" s="60"/>
      <c r="M107" s="40"/>
      <c r="N107" s="59"/>
      <c r="O107" s="40"/>
      <c r="P107" s="132"/>
    </row>
    <row r="108" spans="1:16" s="99" customFormat="1" ht="12.75">
      <c r="A108" s="123"/>
      <c r="B108" s="67" t="s">
        <v>76</v>
      </c>
      <c r="C108" s="13" t="s">
        <v>21</v>
      </c>
      <c r="D108" s="15">
        <v>627</v>
      </c>
      <c r="E108" s="15">
        <v>620</v>
      </c>
      <c r="F108" s="14">
        <f t="shared" si="32"/>
        <v>619.9300000000001</v>
      </c>
      <c r="G108" s="101">
        <v>23.5</v>
      </c>
      <c r="H108" s="101">
        <v>13</v>
      </c>
      <c r="I108" s="101">
        <v>59.15</v>
      </c>
      <c r="J108" s="101">
        <v>31.200000000000003</v>
      </c>
      <c r="K108" s="101">
        <v>100.1</v>
      </c>
      <c r="L108" s="101">
        <v>32</v>
      </c>
      <c r="M108" s="101">
        <v>70.17999999999999</v>
      </c>
      <c r="N108" s="101">
        <v>134</v>
      </c>
      <c r="O108" s="101">
        <v>142.1</v>
      </c>
      <c r="P108" s="143">
        <v>14.700000000000001</v>
      </c>
    </row>
    <row r="109" spans="1:16" s="99" customFormat="1" ht="12.75">
      <c r="A109" s="123"/>
      <c r="B109" s="67" t="s">
        <v>77</v>
      </c>
      <c r="C109" s="13" t="s">
        <v>21</v>
      </c>
      <c r="D109" s="15">
        <v>18</v>
      </c>
      <c r="E109" s="15">
        <v>12</v>
      </c>
      <c r="F109" s="14">
        <f t="shared" si="32"/>
        <v>0</v>
      </c>
      <c r="G109" s="101"/>
      <c r="H109" s="101"/>
      <c r="I109" s="101"/>
      <c r="J109" s="101"/>
      <c r="K109" s="101"/>
      <c r="L109" s="101"/>
      <c r="M109" s="101"/>
      <c r="N109" s="101"/>
      <c r="O109" s="101"/>
      <c r="P109" s="143"/>
    </row>
    <row r="110" spans="1:16" s="99" customFormat="1" ht="12.75">
      <c r="A110" s="123"/>
      <c r="B110" s="67" t="s">
        <v>78</v>
      </c>
      <c r="C110" s="13" t="s">
        <v>21</v>
      </c>
      <c r="D110" s="15">
        <v>569</v>
      </c>
      <c r="E110" s="15">
        <v>574</v>
      </c>
      <c r="F110" s="14">
        <f t="shared" si="32"/>
        <v>573.5800000000002</v>
      </c>
      <c r="G110" s="101">
        <v>23.5</v>
      </c>
      <c r="H110" s="101">
        <v>13</v>
      </c>
      <c r="I110" s="101">
        <v>46</v>
      </c>
      <c r="J110" s="101">
        <v>31.200000000000003</v>
      </c>
      <c r="K110" s="101">
        <v>87.6</v>
      </c>
      <c r="L110" s="101">
        <v>30</v>
      </c>
      <c r="M110" s="101">
        <v>62.78</v>
      </c>
      <c r="N110" s="101">
        <v>135.5</v>
      </c>
      <c r="O110" s="101">
        <v>130.8</v>
      </c>
      <c r="P110" s="143">
        <v>13.2</v>
      </c>
    </row>
    <row r="111" spans="1:16" ht="12.75">
      <c r="A111" s="125"/>
      <c r="B111" s="18" t="s">
        <v>64</v>
      </c>
      <c r="C111" s="70" t="s">
        <v>35</v>
      </c>
      <c r="D111" s="20">
        <v>40.08713532513181</v>
      </c>
      <c r="E111" s="20">
        <v>40.08713532513181</v>
      </c>
      <c r="F111" s="102">
        <f>F112/F110*10</f>
        <v>40.2342759510443</v>
      </c>
      <c r="G111" s="103">
        <v>35.78</v>
      </c>
      <c r="H111" s="103">
        <v>44.61999999999999</v>
      </c>
      <c r="I111" s="103">
        <v>40.67</v>
      </c>
      <c r="J111" s="103">
        <v>46.45</v>
      </c>
      <c r="K111" s="103">
        <v>31.150000000000006</v>
      </c>
      <c r="L111" s="103">
        <v>33.333333333333336</v>
      </c>
      <c r="M111" s="103">
        <v>40</v>
      </c>
      <c r="N111" s="103">
        <v>52.3</v>
      </c>
      <c r="O111" s="103">
        <v>34.67</v>
      </c>
      <c r="P111" s="146">
        <v>36</v>
      </c>
    </row>
    <row r="112" spans="1:16" ht="12.75">
      <c r="A112" s="125"/>
      <c r="B112" s="73" t="s">
        <v>65</v>
      </c>
      <c r="C112" s="70" t="s">
        <v>23</v>
      </c>
      <c r="D112" s="78">
        <f aca="true" t="shared" si="35" ref="D112:P112">D111*D110/10</f>
        <v>2280.958</v>
      </c>
      <c r="E112" s="78">
        <f t="shared" si="35"/>
        <v>2301.001567662566</v>
      </c>
      <c r="F112" s="53">
        <f>SUM(G112:P112)</f>
        <v>2307.7576</v>
      </c>
      <c r="G112" s="78">
        <f t="shared" si="35"/>
        <v>84.083</v>
      </c>
      <c r="H112" s="78">
        <f t="shared" si="35"/>
        <v>58.005999999999986</v>
      </c>
      <c r="I112" s="78">
        <f t="shared" si="35"/>
        <v>187.08200000000002</v>
      </c>
      <c r="J112" s="79">
        <f t="shared" si="35"/>
        <v>144.92400000000004</v>
      </c>
      <c r="K112" s="79">
        <f t="shared" si="35"/>
        <v>272.874</v>
      </c>
      <c r="L112" s="79">
        <f t="shared" si="35"/>
        <v>100.00000000000001</v>
      </c>
      <c r="M112" s="79">
        <f t="shared" si="35"/>
        <v>251.11999999999998</v>
      </c>
      <c r="N112" s="79">
        <f t="shared" si="35"/>
        <v>708.665</v>
      </c>
      <c r="O112" s="79">
        <f t="shared" si="35"/>
        <v>453.4836</v>
      </c>
      <c r="P112" s="150">
        <f t="shared" si="35"/>
        <v>47.519999999999996</v>
      </c>
    </row>
    <row r="113" spans="1:16" ht="12.75">
      <c r="A113" s="113">
        <v>4</v>
      </c>
      <c r="B113" s="3" t="s">
        <v>80</v>
      </c>
      <c r="C113" s="70"/>
      <c r="D113" s="20"/>
      <c r="E113" s="20"/>
      <c r="F113" s="53"/>
      <c r="G113" s="58"/>
      <c r="H113" s="58"/>
      <c r="I113" s="26"/>
      <c r="J113" s="59"/>
      <c r="K113" s="40"/>
      <c r="L113" s="60"/>
      <c r="M113" s="40"/>
      <c r="N113" s="59"/>
      <c r="O113" s="40"/>
      <c r="P113" s="132"/>
    </row>
    <row r="114" spans="1:16" s="99" customFormat="1" ht="12.75">
      <c r="A114" s="123"/>
      <c r="B114" s="67" t="s">
        <v>76</v>
      </c>
      <c r="C114" s="13" t="s">
        <v>21</v>
      </c>
      <c r="D114" s="15">
        <v>1921</v>
      </c>
      <c r="E114" s="15">
        <v>1874</v>
      </c>
      <c r="F114" s="14">
        <f t="shared" si="32"/>
        <v>1874.15</v>
      </c>
      <c r="G114" s="101">
        <v>4</v>
      </c>
      <c r="H114" s="101">
        <v>99</v>
      </c>
      <c r="I114" s="101">
        <v>491.9</v>
      </c>
      <c r="J114" s="101">
        <v>18</v>
      </c>
      <c r="K114" s="101">
        <v>66.9</v>
      </c>
      <c r="L114" s="101">
        <v>24</v>
      </c>
      <c r="M114" s="101">
        <v>578.45</v>
      </c>
      <c r="N114" s="101">
        <v>520</v>
      </c>
      <c r="O114" s="101">
        <v>7</v>
      </c>
      <c r="P114" s="143">
        <v>64.9</v>
      </c>
    </row>
    <row r="115" spans="1:16" s="99" customFormat="1" ht="12.75">
      <c r="A115" s="123"/>
      <c r="B115" s="67" t="s">
        <v>77</v>
      </c>
      <c r="C115" s="13" t="s">
        <v>21</v>
      </c>
      <c r="D115" s="15">
        <v>71</v>
      </c>
      <c r="E115" s="15">
        <v>32</v>
      </c>
      <c r="F115" s="14">
        <f t="shared" si="32"/>
        <v>0</v>
      </c>
      <c r="G115" s="101"/>
      <c r="H115" s="101"/>
      <c r="I115" s="101"/>
      <c r="J115" s="101"/>
      <c r="K115" s="101"/>
      <c r="L115" s="101"/>
      <c r="M115" s="101"/>
      <c r="N115" s="101"/>
      <c r="O115" s="101"/>
      <c r="P115" s="143"/>
    </row>
    <row r="116" spans="1:16" s="99" customFormat="1" ht="12.75">
      <c r="A116" s="123"/>
      <c r="B116" s="67" t="s">
        <v>78</v>
      </c>
      <c r="C116" s="13" t="s">
        <v>21</v>
      </c>
      <c r="D116" s="15">
        <v>1861</v>
      </c>
      <c r="E116" s="15">
        <v>1859</v>
      </c>
      <c r="F116" s="14">
        <f t="shared" si="32"/>
        <v>1859.4199999999998</v>
      </c>
      <c r="G116" s="101">
        <v>4</v>
      </c>
      <c r="H116" s="101">
        <v>99</v>
      </c>
      <c r="I116" s="101">
        <v>455</v>
      </c>
      <c r="J116" s="101">
        <v>18</v>
      </c>
      <c r="K116" s="101">
        <v>62.4</v>
      </c>
      <c r="L116" s="101">
        <v>20</v>
      </c>
      <c r="M116" s="101">
        <v>574.3199999999999</v>
      </c>
      <c r="N116" s="101">
        <v>558</v>
      </c>
      <c r="O116" s="101">
        <v>6</v>
      </c>
      <c r="P116" s="143">
        <v>62.7</v>
      </c>
    </row>
    <row r="117" spans="1:16" ht="12.75">
      <c r="A117" s="125"/>
      <c r="B117" s="18" t="s">
        <v>64</v>
      </c>
      <c r="C117" s="70" t="s">
        <v>35</v>
      </c>
      <c r="D117" s="20">
        <v>37.195094035464805</v>
      </c>
      <c r="E117" s="20">
        <v>37.195094035464805</v>
      </c>
      <c r="F117" s="102">
        <f>F118/F116*10</f>
        <v>37.48399178238376</v>
      </c>
      <c r="G117" s="103">
        <v>38</v>
      </c>
      <c r="H117" s="103">
        <v>37.8</v>
      </c>
      <c r="I117" s="103">
        <v>38.26</v>
      </c>
      <c r="J117" s="103">
        <v>38.333333333333336</v>
      </c>
      <c r="K117" s="103">
        <v>42.460000000000015</v>
      </c>
      <c r="L117" s="103">
        <v>41.5</v>
      </c>
      <c r="M117" s="103">
        <v>38</v>
      </c>
      <c r="N117" s="103">
        <v>35.5</v>
      </c>
      <c r="O117" s="103">
        <v>35.12</v>
      </c>
      <c r="P117" s="146">
        <v>38</v>
      </c>
    </row>
    <row r="118" spans="1:16" ht="12.75">
      <c r="A118" s="125"/>
      <c r="B118" s="77" t="s">
        <v>74</v>
      </c>
      <c r="C118" s="70" t="s">
        <v>23</v>
      </c>
      <c r="D118" s="78">
        <f aca="true" t="shared" si="36" ref="D118:P118">D117*D116/10</f>
        <v>6922.0070000000005</v>
      </c>
      <c r="E118" s="78">
        <f t="shared" si="36"/>
        <v>6914.567981192908</v>
      </c>
      <c r="F118" s="53">
        <f>SUM(G118:P118)</f>
        <v>6969.848400000001</v>
      </c>
      <c r="G118" s="78">
        <f t="shared" si="36"/>
        <v>15.2</v>
      </c>
      <c r="H118" s="78">
        <f t="shared" si="36"/>
        <v>374.21999999999997</v>
      </c>
      <c r="I118" s="78">
        <f t="shared" si="36"/>
        <v>1740.83</v>
      </c>
      <c r="J118" s="79">
        <f t="shared" si="36"/>
        <v>69</v>
      </c>
      <c r="K118" s="79">
        <f t="shared" si="36"/>
        <v>264.95040000000006</v>
      </c>
      <c r="L118" s="79">
        <f t="shared" si="36"/>
        <v>83</v>
      </c>
      <c r="M118" s="79">
        <f t="shared" si="36"/>
        <v>2182.4159999999997</v>
      </c>
      <c r="N118" s="79">
        <f t="shared" si="36"/>
        <v>1980.9</v>
      </c>
      <c r="O118" s="79">
        <f t="shared" si="36"/>
        <v>21.071999999999996</v>
      </c>
      <c r="P118" s="150">
        <f t="shared" si="36"/>
        <v>238.26</v>
      </c>
    </row>
    <row r="119" spans="1:16" ht="12.75">
      <c r="A119" s="113">
        <v>5</v>
      </c>
      <c r="B119" s="104" t="s">
        <v>81</v>
      </c>
      <c r="C119" s="76"/>
      <c r="D119" s="20"/>
      <c r="E119" s="20"/>
      <c r="F119" s="53"/>
      <c r="G119" s="29"/>
      <c r="H119" s="29"/>
      <c r="I119" s="26"/>
      <c r="J119" s="42"/>
      <c r="K119" s="40"/>
      <c r="L119" s="60"/>
      <c r="M119" s="40"/>
      <c r="N119" s="42"/>
      <c r="O119" s="40"/>
      <c r="P119" s="132"/>
    </row>
    <row r="120" spans="1:16" s="99" customFormat="1" ht="12.75">
      <c r="A120" s="123"/>
      <c r="B120" s="67" t="s">
        <v>76</v>
      </c>
      <c r="C120" s="13" t="s">
        <v>21</v>
      </c>
      <c r="D120" s="15">
        <v>403</v>
      </c>
      <c r="E120" s="15">
        <v>408</v>
      </c>
      <c r="F120" s="14">
        <f t="shared" si="32"/>
        <v>407.76</v>
      </c>
      <c r="G120" s="101">
        <v>5.5</v>
      </c>
      <c r="H120" s="101">
        <v>14</v>
      </c>
      <c r="I120" s="101">
        <v>20</v>
      </c>
      <c r="J120" s="101">
        <v>9.3</v>
      </c>
      <c r="K120" s="101">
        <v>75.2</v>
      </c>
      <c r="L120" s="101">
        <v>48</v>
      </c>
      <c r="M120" s="101">
        <v>98.85999999999999</v>
      </c>
      <c r="N120" s="101">
        <v>29</v>
      </c>
      <c r="O120" s="101">
        <v>23.9</v>
      </c>
      <c r="P120" s="143">
        <v>84</v>
      </c>
    </row>
    <row r="121" spans="1:16" s="99" customFormat="1" ht="12.75">
      <c r="A121" s="123"/>
      <c r="B121" s="67" t="s">
        <v>77</v>
      </c>
      <c r="C121" s="13" t="s">
        <v>21</v>
      </c>
      <c r="D121" s="15">
        <v>56</v>
      </c>
      <c r="E121" s="15">
        <v>14</v>
      </c>
      <c r="F121" s="14">
        <f t="shared" si="32"/>
        <v>0</v>
      </c>
      <c r="G121" s="101">
        <v>0</v>
      </c>
      <c r="H121" s="101">
        <v>0</v>
      </c>
      <c r="I121" s="101">
        <v>0</v>
      </c>
      <c r="J121" s="101"/>
      <c r="K121" s="101"/>
      <c r="L121" s="101"/>
      <c r="M121" s="101"/>
      <c r="N121" s="101"/>
      <c r="O121" s="101"/>
      <c r="P121" s="143">
        <v>0</v>
      </c>
    </row>
    <row r="122" spans="1:16" s="99" customFormat="1" ht="12.75">
      <c r="A122" s="123"/>
      <c r="B122" s="67" t="s">
        <v>78</v>
      </c>
      <c r="C122" s="13" t="s">
        <v>21</v>
      </c>
      <c r="D122" s="15">
        <v>263</v>
      </c>
      <c r="E122" s="15">
        <v>263</v>
      </c>
      <c r="F122" s="14">
        <f t="shared" si="32"/>
        <v>281.36</v>
      </c>
      <c r="G122" s="101">
        <v>5.5</v>
      </c>
      <c r="H122" s="101">
        <v>11</v>
      </c>
      <c r="I122" s="101">
        <v>15</v>
      </c>
      <c r="J122" s="101">
        <v>7.2</v>
      </c>
      <c r="K122" s="101">
        <v>51.5</v>
      </c>
      <c r="L122" s="101">
        <v>39</v>
      </c>
      <c r="M122" s="101">
        <v>46.66</v>
      </c>
      <c r="N122" s="101">
        <v>25</v>
      </c>
      <c r="O122" s="101">
        <v>23.3</v>
      </c>
      <c r="P122" s="143">
        <v>57.2</v>
      </c>
    </row>
    <row r="123" spans="1:16" ht="12.75">
      <c r="A123" s="125"/>
      <c r="B123" s="18" t="s">
        <v>82</v>
      </c>
      <c r="C123" s="70" t="s">
        <v>35</v>
      </c>
      <c r="D123" s="20">
        <v>61.67300380228137</v>
      </c>
      <c r="E123" s="20">
        <v>61.67300380228137</v>
      </c>
      <c r="F123" s="102">
        <f>F124/F122*10</f>
        <v>62.50177708274096</v>
      </c>
      <c r="G123" s="105">
        <v>35</v>
      </c>
      <c r="H123" s="105">
        <v>70.91</v>
      </c>
      <c r="I123" s="105">
        <v>40</v>
      </c>
      <c r="J123" s="105">
        <v>31.98611111111111</v>
      </c>
      <c r="K123" s="105">
        <v>81.6</v>
      </c>
      <c r="L123" s="105">
        <v>69.48717948717949</v>
      </c>
      <c r="M123" s="105">
        <v>55</v>
      </c>
      <c r="N123" s="105">
        <v>86.88</v>
      </c>
      <c r="O123" s="105">
        <v>41.21845493562232</v>
      </c>
      <c r="P123" s="151">
        <v>55.44755244755245</v>
      </c>
    </row>
    <row r="124" spans="1:16" ht="12.75">
      <c r="A124" s="125"/>
      <c r="B124" s="77" t="s">
        <v>74</v>
      </c>
      <c r="C124" s="70" t="s">
        <v>23</v>
      </c>
      <c r="D124" s="78">
        <f aca="true" t="shared" si="37" ref="D124:P124">D123*D122/10</f>
        <v>1622</v>
      </c>
      <c r="E124" s="78">
        <f t="shared" si="37"/>
        <v>1622</v>
      </c>
      <c r="F124" s="53">
        <f>SUM(G124:P124)</f>
        <v>1758.5499999999997</v>
      </c>
      <c r="G124" s="78">
        <f t="shared" si="37"/>
        <v>19.25</v>
      </c>
      <c r="H124" s="78">
        <f t="shared" si="37"/>
        <v>78.001</v>
      </c>
      <c r="I124" s="78">
        <f t="shared" si="37"/>
        <v>60</v>
      </c>
      <c r="J124" s="79">
        <f t="shared" si="37"/>
        <v>23.03</v>
      </c>
      <c r="K124" s="79">
        <f t="shared" si="37"/>
        <v>420.23999999999995</v>
      </c>
      <c r="L124" s="79">
        <f t="shared" si="37"/>
        <v>271</v>
      </c>
      <c r="M124" s="79">
        <f t="shared" si="37"/>
        <v>256.63</v>
      </c>
      <c r="N124" s="79">
        <f t="shared" si="37"/>
        <v>217.2</v>
      </c>
      <c r="O124" s="79">
        <f t="shared" si="37"/>
        <v>96.03900000000002</v>
      </c>
      <c r="P124" s="150">
        <f t="shared" si="37"/>
        <v>317.15999999999997</v>
      </c>
    </row>
    <row r="125" spans="1:16" ht="12.75">
      <c r="A125" s="113">
        <v>6</v>
      </c>
      <c r="B125" s="3" t="s">
        <v>83</v>
      </c>
      <c r="C125" s="76"/>
      <c r="D125" s="20"/>
      <c r="E125" s="20"/>
      <c r="F125" s="53"/>
      <c r="G125" s="29"/>
      <c r="H125" s="29"/>
      <c r="I125" s="26"/>
      <c r="J125" s="42"/>
      <c r="K125" s="40"/>
      <c r="L125" s="60"/>
      <c r="M125" s="40"/>
      <c r="N125" s="42"/>
      <c r="O125" s="40"/>
      <c r="P125" s="132"/>
    </row>
    <row r="126" spans="1:16" s="99" customFormat="1" ht="12.75">
      <c r="A126" s="123"/>
      <c r="B126" s="67" t="s">
        <v>61</v>
      </c>
      <c r="C126" s="13" t="s">
        <v>21</v>
      </c>
      <c r="D126" s="15">
        <v>742</v>
      </c>
      <c r="E126" s="15">
        <v>748</v>
      </c>
      <c r="F126" s="14">
        <f t="shared" si="32"/>
        <v>748.01</v>
      </c>
      <c r="G126" s="101">
        <v>88.4</v>
      </c>
      <c r="H126" s="101">
        <v>10</v>
      </c>
      <c r="I126" s="101">
        <v>20.5</v>
      </c>
      <c r="J126" s="101">
        <v>36.1</v>
      </c>
      <c r="K126" s="101">
        <v>107.75</v>
      </c>
      <c r="L126" s="101">
        <v>49</v>
      </c>
      <c r="M126" s="101">
        <v>80.2</v>
      </c>
      <c r="N126" s="101">
        <v>106</v>
      </c>
      <c r="O126" s="101">
        <v>179.76</v>
      </c>
      <c r="P126" s="143">
        <v>70.3</v>
      </c>
    </row>
    <row r="127" spans="1:16" s="99" customFormat="1" ht="12.75">
      <c r="A127" s="123"/>
      <c r="B127" s="67" t="s">
        <v>62</v>
      </c>
      <c r="C127" s="13" t="s">
        <v>21</v>
      </c>
      <c r="D127" s="15">
        <v>58</v>
      </c>
      <c r="E127" s="15">
        <v>58</v>
      </c>
      <c r="F127" s="14">
        <f t="shared" si="32"/>
        <v>0</v>
      </c>
      <c r="G127" s="101">
        <v>0</v>
      </c>
      <c r="H127" s="101"/>
      <c r="I127" s="101"/>
      <c r="J127" s="101"/>
      <c r="K127" s="101"/>
      <c r="L127" s="101"/>
      <c r="M127" s="101"/>
      <c r="N127" s="101"/>
      <c r="O127" s="101"/>
      <c r="P127" s="143"/>
    </row>
    <row r="128" spans="1:16" s="99" customFormat="1" ht="12.75">
      <c r="A128" s="123"/>
      <c r="B128" s="67" t="s">
        <v>63</v>
      </c>
      <c r="C128" s="13" t="s">
        <v>21</v>
      </c>
      <c r="D128" s="15">
        <v>630</v>
      </c>
      <c r="E128" s="15">
        <v>639</v>
      </c>
      <c r="F128" s="14">
        <f t="shared" si="32"/>
        <v>638.81</v>
      </c>
      <c r="G128" s="101">
        <v>88.4</v>
      </c>
      <c r="H128" s="101">
        <v>5</v>
      </c>
      <c r="I128" s="101">
        <v>17.2</v>
      </c>
      <c r="J128" s="101">
        <v>30.3</v>
      </c>
      <c r="K128" s="101">
        <v>87.25</v>
      </c>
      <c r="L128" s="101">
        <v>42</v>
      </c>
      <c r="M128" s="101">
        <v>67.5</v>
      </c>
      <c r="N128" s="101">
        <v>90.5</v>
      </c>
      <c r="O128" s="101">
        <v>158.86</v>
      </c>
      <c r="P128" s="143">
        <v>51.8</v>
      </c>
    </row>
    <row r="129" spans="1:16" ht="12.75">
      <c r="A129" s="125"/>
      <c r="B129" s="73" t="s">
        <v>64</v>
      </c>
      <c r="C129" s="70" t="s">
        <v>35</v>
      </c>
      <c r="D129" s="20">
        <v>33.95238095238095</v>
      </c>
      <c r="E129" s="20">
        <v>33.95238095238095</v>
      </c>
      <c r="F129" s="102">
        <f>F130/F128*10</f>
        <v>34.051717255521986</v>
      </c>
      <c r="G129" s="103">
        <v>36.03054298642534</v>
      </c>
      <c r="H129" s="103">
        <v>42.5</v>
      </c>
      <c r="I129" s="103">
        <v>20.44</v>
      </c>
      <c r="J129" s="103">
        <v>35.26402640264026</v>
      </c>
      <c r="K129" s="103">
        <v>43.49</v>
      </c>
      <c r="L129" s="103">
        <v>39.285714285714285</v>
      </c>
      <c r="M129" s="103">
        <v>29</v>
      </c>
      <c r="N129" s="103">
        <v>33.61</v>
      </c>
      <c r="O129" s="103">
        <v>30.727319652524237</v>
      </c>
      <c r="P129" s="146">
        <v>31.07837837837838</v>
      </c>
    </row>
    <row r="130" spans="1:16" ht="12.75">
      <c r="A130" s="125"/>
      <c r="B130" s="73" t="s">
        <v>65</v>
      </c>
      <c r="C130" s="70" t="s">
        <v>23</v>
      </c>
      <c r="D130" s="78">
        <f aca="true" t="shared" si="38" ref="D130:P130">D129*D128/10</f>
        <v>2138.9999999999995</v>
      </c>
      <c r="E130" s="78">
        <f t="shared" si="38"/>
        <v>2169.557142857143</v>
      </c>
      <c r="F130" s="53">
        <f>SUM(G130:P130)</f>
        <v>2175.2577499999998</v>
      </c>
      <c r="G130" s="78">
        <f t="shared" si="38"/>
        <v>318.51</v>
      </c>
      <c r="H130" s="78">
        <f t="shared" si="38"/>
        <v>21.25</v>
      </c>
      <c r="I130" s="78">
        <f t="shared" si="38"/>
        <v>35.1568</v>
      </c>
      <c r="J130" s="79">
        <f t="shared" si="38"/>
        <v>106.85</v>
      </c>
      <c r="K130" s="79">
        <f t="shared" si="38"/>
        <v>379.45025</v>
      </c>
      <c r="L130" s="79">
        <f t="shared" si="38"/>
        <v>165</v>
      </c>
      <c r="M130" s="79">
        <f t="shared" si="38"/>
        <v>195.75</v>
      </c>
      <c r="N130" s="79">
        <f t="shared" si="38"/>
        <v>304.1705</v>
      </c>
      <c r="O130" s="79">
        <f t="shared" si="38"/>
        <v>488.1342000000001</v>
      </c>
      <c r="P130" s="150">
        <f t="shared" si="38"/>
        <v>160.986</v>
      </c>
    </row>
    <row r="131" spans="1:16" ht="12.75">
      <c r="A131" s="113">
        <v>7</v>
      </c>
      <c r="B131" s="3" t="s">
        <v>84</v>
      </c>
      <c r="C131" s="76"/>
      <c r="D131" s="20"/>
      <c r="E131" s="20"/>
      <c r="F131" s="53"/>
      <c r="G131" s="80"/>
      <c r="H131" s="80"/>
      <c r="I131" s="80"/>
      <c r="J131" s="81"/>
      <c r="K131" s="81"/>
      <c r="L131" s="60"/>
      <c r="M131" s="81"/>
      <c r="N131" s="81"/>
      <c r="O131" s="81"/>
      <c r="P131" s="132"/>
    </row>
    <row r="132" spans="1:16" s="99" customFormat="1" ht="12.75">
      <c r="A132" s="123"/>
      <c r="B132" s="67" t="s">
        <v>61</v>
      </c>
      <c r="C132" s="13" t="s">
        <v>21</v>
      </c>
      <c r="D132" s="15">
        <v>505</v>
      </c>
      <c r="E132" s="15">
        <v>505</v>
      </c>
      <c r="F132" s="14">
        <f t="shared" si="32"/>
        <v>505</v>
      </c>
      <c r="G132" s="16">
        <v>15</v>
      </c>
      <c r="H132" s="16">
        <v>8</v>
      </c>
      <c r="I132" s="16">
        <v>34</v>
      </c>
      <c r="J132" s="38">
        <v>32</v>
      </c>
      <c r="K132" s="38">
        <v>71</v>
      </c>
      <c r="L132" s="39">
        <v>35</v>
      </c>
      <c r="M132" s="38">
        <v>86</v>
      </c>
      <c r="N132" s="38">
        <v>178</v>
      </c>
      <c r="O132" s="38">
        <v>40</v>
      </c>
      <c r="P132" s="131">
        <v>6</v>
      </c>
    </row>
    <row r="133" spans="1:16" s="99" customFormat="1" ht="12.75">
      <c r="A133" s="123"/>
      <c r="B133" s="67" t="s">
        <v>62</v>
      </c>
      <c r="C133" s="13" t="s">
        <v>21</v>
      </c>
      <c r="D133" s="15">
        <v>27</v>
      </c>
      <c r="E133" s="15">
        <v>27</v>
      </c>
      <c r="F133" s="14">
        <f t="shared" si="32"/>
        <v>0</v>
      </c>
      <c r="G133" s="16"/>
      <c r="H133" s="16"/>
      <c r="I133" s="16"/>
      <c r="J133" s="38"/>
      <c r="K133" s="38"/>
      <c r="L133" s="39"/>
      <c r="M133" s="38"/>
      <c r="N133" s="38"/>
      <c r="O133" s="38"/>
      <c r="P133" s="131"/>
    </row>
    <row r="134" spans="1:16" s="99" customFormat="1" ht="12.75">
      <c r="A134" s="123"/>
      <c r="B134" s="67" t="s">
        <v>63</v>
      </c>
      <c r="C134" s="13" t="s">
        <v>21</v>
      </c>
      <c r="D134" s="15">
        <v>401</v>
      </c>
      <c r="E134" s="15">
        <v>401</v>
      </c>
      <c r="F134" s="14">
        <f t="shared" si="32"/>
        <v>401</v>
      </c>
      <c r="G134" s="16">
        <v>15</v>
      </c>
      <c r="H134" s="16">
        <v>8</v>
      </c>
      <c r="I134" s="16">
        <v>33</v>
      </c>
      <c r="J134" s="38">
        <v>29</v>
      </c>
      <c r="K134" s="38">
        <v>59</v>
      </c>
      <c r="L134" s="39">
        <v>24</v>
      </c>
      <c r="M134" s="38">
        <v>70</v>
      </c>
      <c r="N134" s="38">
        <v>124</v>
      </c>
      <c r="O134" s="38">
        <v>39</v>
      </c>
      <c r="P134" s="131">
        <v>0</v>
      </c>
    </row>
    <row r="135" spans="1:16" ht="12.75">
      <c r="A135" s="125"/>
      <c r="B135" s="73" t="s">
        <v>64</v>
      </c>
      <c r="C135" s="70" t="s">
        <v>35</v>
      </c>
      <c r="D135" s="20">
        <v>74.23940149625935</v>
      </c>
      <c r="E135" s="20">
        <v>74.23940149625935</v>
      </c>
      <c r="F135" s="102">
        <f>F136/F134*10</f>
        <v>74.79551122194513</v>
      </c>
      <c r="G135" s="82">
        <v>76</v>
      </c>
      <c r="H135" s="82">
        <v>91</v>
      </c>
      <c r="I135" s="82">
        <v>83</v>
      </c>
      <c r="J135" s="83">
        <v>74</v>
      </c>
      <c r="K135" s="83">
        <v>72</v>
      </c>
      <c r="L135" s="84">
        <v>70</v>
      </c>
      <c r="M135" s="83">
        <v>75</v>
      </c>
      <c r="N135" s="83">
        <v>74</v>
      </c>
      <c r="O135" s="83">
        <v>74</v>
      </c>
      <c r="P135" s="132">
        <v>0</v>
      </c>
    </row>
    <row r="136" spans="1:16" ht="12.75">
      <c r="A136" s="125"/>
      <c r="B136" s="73" t="s">
        <v>65</v>
      </c>
      <c r="C136" s="70" t="s">
        <v>23</v>
      </c>
      <c r="D136" s="78">
        <f aca="true" t="shared" si="39" ref="D136:P136">D135*D134/10</f>
        <v>2977</v>
      </c>
      <c r="E136" s="78">
        <f t="shared" si="39"/>
        <v>2977</v>
      </c>
      <c r="F136" s="53">
        <f>SUM(G136:P136)</f>
        <v>2999.2999999999997</v>
      </c>
      <c r="G136" s="78">
        <f t="shared" si="39"/>
        <v>114</v>
      </c>
      <c r="H136" s="78">
        <f t="shared" si="39"/>
        <v>72.8</v>
      </c>
      <c r="I136" s="78">
        <f t="shared" si="39"/>
        <v>273.9</v>
      </c>
      <c r="J136" s="79">
        <f t="shared" si="39"/>
        <v>214.6</v>
      </c>
      <c r="K136" s="79">
        <f t="shared" si="39"/>
        <v>424.8</v>
      </c>
      <c r="L136" s="79">
        <f t="shared" si="39"/>
        <v>168</v>
      </c>
      <c r="M136" s="79">
        <f t="shared" si="39"/>
        <v>525</v>
      </c>
      <c r="N136" s="79">
        <f t="shared" si="39"/>
        <v>917.6</v>
      </c>
      <c r="O136" s="79">
        <f t="shared" si="39"/>
        <v>288.6</v>
      </c>
      <c r="P136" s="150">
        <f t="shared" si="39"/>
        <v>0</v>
      </c>
    </row>
    <row r="137" spans="1:16" ht="12.75">
      <c r="A137" s="113">
        <v>8</v>
      </c>
      <c r="B137" s="3" t="s">
        <v>85</v>
      </c>
      <c r="C137" s="76"/>
      <c r="D137" s="20"/>
      <c r="E137" s="20"/>
      <c r="F137" s="53"/>
      <c r="G137" s="78"/>
      <c r="H137" s="78"/>
      <c r="I137" s="78"/>
      <c r="J137" s="79"/>
      <c r="K137" s="79"/>
      <c r="L137" s="60"/>
      <c r="M137" s="79"/>
      <c r="N137" s="79"/>
      <c r="O137" s="79"/>
      <c r="P137" s="152"/>
    </row>
    <row r="138" spans="1:16" s="99" customFormat="1" ht="12.75">
      <c r="A138" s="123"/>
      <c r="B138" s="67" t="s">
        <v>61</v>
      </c>
      <c r="C138" s="13" t="s">
        <v>86</v>
      </c>
      <c r="D138" s="15">
        <f>SUM(D141+D147+D153)-340</f>
        <v>1005</v>
      </c>
      <c r="E138" s="15">
        <f>SUM(E141+E147+E153)-190</f>
        <v>1495</v>
      </c>
      <c r="F138" s="14">
        <f t="shared" si="32"/>
        <v>834</v>
      </c>
      <c r="G138" s="16">
        <v>30</v>
      </c>
      <c r="H138" s="16">
        <v>30</v>
      </c>
      <c r="I138" s="16">
        <v>180</v>
      </c>
      <c r="J138" s="38">
        <v>130</v>
      </c>
      <c r="K138" s="38">
        <v>14</v>
      </c>
      <c r="L138" s="39">
        <v>250</v>
      </c>
      <c r="M138" s="38">
        <v>40</v>
      </c>
      <c r="N138" s="38">
        <v>15</v>
      </c>
      <c r="O138" s="38">
        <v>120</v>
      </c>
      <c r="P138" s="131">
        <v>25</v>
      </c>
    </row>
    <row r="139" spans="1:16" ht="12.75">
      <c r="A139" s="125"/>
      <c r="B139" s="73" t="s">
        <v>87</v>
      </c>
      <c r="C139" s="76" t="s">
        <v>23</v>
      </c>
      <c r="D139" s="20">
        <v>1000</v>
      </c>
      <c r="E139" s="20">
        <v>1000</v>
      </c>
      <c r="F139" s="53">
        <f t="shared" si="32"/>
        <v>583.8</v>
      </c>
      <c r="G139" s="80">
        <f>G138*0.7</f>
        <v>21</v>
      </c>
      <c r="H139" s="80">
        <f>H138*0.7</f>
        <v>21</v>
      </c>
      <c r="I139" s="80">
        <f aca="true" t="shared" si="40" ref="I139:P139">I138*0.7</f>
        <v>125.99999999999999</v>
      </c>
      <c r="J139" s="80">
        <f t="shared" si="40"/>
        <v>91</v>
      </c>
      <c r="K139" s="80">
        <f t="shared" si="40"/>
        <v>9.799999999999999</v>
      </c>
      <c r="L139" s="80">
        <f t="shared" si="40"/>
        <v>175</v>
      </c>
      <c r="M139" s="80">
        <f t="shared" si="40"/>
        <v>28</v>
      </c>
      <c r="N139" s="80">
        <f t="shared" si="40"/>
        <v>10.5</v>
      </c>
      <c r="O139" s="80">
        <f t="shared" si="40"/>
        <v>84</v>
      </c>
      <c r="P139" s="153">
        <f t="shared" si="40"/>
        <v>17.5</v>
      </c>
    </row>
    <row r="140" spans="1:16" ht="12.75" hidden="1">
      <c r="A140" s="113" t="s">
        <v>88</v>
      </c>
      <c r="B140" s="3" t="s">
        <v>89</v>
      </c>
      <c r="C140" s="76"/>
      <c r="D140" s="20">
        <v>0</v>
      </c>
      <c r="E140" s="20">
        <v>0</v>
      </c>
      <c r="F140" s="53">
        <f t="shared" si="32"/>
        <v>0</v>
      </c>
      <c r="G140" s="80"/>
      <c r="H140" s="80"/>
      <c r="I140" s="80"/>
      <c r="J140" s="81"/>
      <c r="K140" s="81"/>
      <c r="L140" s="60"/>
      <c r="M140" s="81"/>
      <c r="N140" s="81"/>
      <c r="O140" s="81"/>
      <c r="P140" s="132"/>
    </row>
    <row r="141" spans="1:16" ht="12.75" hidden="1">
      <c r="A141" s="125"/>
      <c r="B141" s="73" t="s">
        <v>61</v>
      </c>
      <c r="C141" s="70" t="s">
        <v>21</v>
      </c>
      <c r="D141" s="20">
        <v>11</v>
      </c>
      <c r="E141" s="20">
        <v>11</v>
      </c>
      <c r="F141" s="53">
        <f t="shared" si="32"/>
        <v>11</v>
      </c>
      <c r="G141" s="29">
        <v>0</v>
      </c>
      <c r="H141" s="29">
        <v>0</v>
      </c>
      <c r="I141" s="29">
        <v>3</v>
      </c>
      <c r="J141" s="42">
        <v>0</v>
      </c>
      <c r="K141" s="42">
        <v>8</v>
      </c>
      <c r="L141" s="60">
        <v>0</v>
      </c>
      <c r="M141" s="42">
        <v>0</v>
      </c>
      <c r="N141" s="42">
        <v>0</v>
      </c>
      <c r="O141" s="42">
        <v>0</v>
      </c>
      <c r="P141" s="132">
        <v>0</v>
      </c>
    </row>
    <row r="142" spans="1:16" ht="12.75" hidden="1">
      <c r="A142" s="125"/>
      <c r="B142" s="73" t="s">
        <v>62</v>
      </c>
      <c r="C142" s="70" t="s">
        <v>21</v>
      </c>
      <c r="D142" s="20">
        <v>3</v>
      </c>
      <c r="E142" s="20">
        <v>3</v>
      </c>
      <c r="F142" s="53">
        <f t="shared" si="32"/>
        <v>3</v>
      </c>
      <c r="G142" s="29">
        <v>0</v>
      </c>
      <c r="H142" s="85">
        <v>0</v>
      </c>
      <c r="I142" s="29">
        <v>1</v>
      </c>
      <c r="J142" s="42">
        <v>0</v>
      </c>
      <c r="K142" s="42">
        <v>2</v>
      </c>
      <c r="L142" s="60">
        <v>0</v>
      </c>
      <c r="M142" s="42">
        <v>0</v>
      </c>
      <c r="N142" s="42">
        <v>0</v>
      </c>
      <c r="O142" s="42">
        <v>0</v>
      </c>
      <c r="P142" s="132">
        <v>0</v>
      </c>
    </row>
    <row r="143" spans="1:16" ht="12.75" hidden="1">
      <c r="A143" s="125"/>
      <c r="B143" s="73" t="s">
        <v>63</v>
      </c>
      <c r="C143" s="86" t="s">
        <v>21</v>
      </c>
      <c r="D143" s="20">
        <v>7</v>
      </c>
      <c r="E143" s="20">
        <v>7</v>
      </c>
      <c r="F143" s="53">
        <f t="shared" si="32"/>
        <v>7</v>
      </c>
      <c r="G143" s="29">
        <v>0</v>
      </c>
      <c r="H143" s="29">
        <v>0</v>
      </c>
      <c r="I143" s="29">
        <v>2</v>
      </c>
      <c r="J143" s="42">
        <v>0</v>
      </c>
      <c r="K143" s="42">
        <v>5</v>
      </c>
      <c r="L143" s="60">
        <v>0</v>
      </c>
      <c r="M143" s="42">
        <v>0</v>
      </c>
      <c r="N143" s="42">
        <v>0</v>
      </c>
      <c r="O143" s="42">
        <v>0</v>
      </c>
      <c r="P143" s="132">
        <v>0</v>
      </c>
    </row>
    <row r="144" spans="1:16" ht="12.75" hidden="1">
      <c r="A144" s="125"/>
      <c r="B144" s="73" t="s">
        <v>64</v>
      </c>
      <c r="C144" s="70" t="s">
        <v>35</v>
      </c>
      <c r="D144" s="20">
        <v>22.857142857142854</v>
      </c>
      <c r="E144" s="20">
        <v>22.857142857142854</v>
      </c>
      <c r="F144" s="53">
        <f>SUM(G144:P144)/2</f>
        <v>22</v>
      </c>
      <c r="G144" s="82">
        <v>0</v>
      </c>
      <c r="H144" s="82">
        <v>0</v>
      </c>
      <c r="I144" s="82">
        <v>20</v>
      </c>
      <c r="J144" s="83">
        <v>0</v>
      </c>
      <c r="K144" s="83">
        <v>24</v>
      </c>
      <c r="L144" s="60">
        <v>0</v>
      </c>
      <c r="M144" s="83">
        <v>0</v>
      </c>
      <c r="N144" s="83">
        <v>0</v>
      </c>
      <c r="O144" s="83">
        <v>0</v>
      </c>
      <c r="P144" s="132">
        <v>0</v>
      </c>
    </row>
    <row r="145" spans="1:16" ht="12.75" hidden="1">
      <c r="A145" s="125"/>
      <c r="B145" s="73" t="s">
        <v>29</v>
      </c>
      <c r="C145" s="70" t="s">
        <v>23</v>
      </c>
      <c r="D145" s="21">
        <f aca="true" t="shared" si="41" ref="D145:P145">D144*D143/10</f>
        <v>15.999999999999996</v>
      </c>
      <c r="E145" s="21">
        <f t="shared" si="41"/>
        <v>15.999999999999996</v>
      </c>
      <c r="F145" s="21">
        <f t="shared" si="41"/>
        <v>15.4</v>
      </c>
      <c r="G145" s="21">
        <f t="shared" si="41"/>
        <v>0</v>
      </c>
      <c r="H145" s="21">
        <f t="shared" si="41"/>
        <v>0</v>
      </c>
      <c r="I145" s="21">
        <f t="shared" si="41"/>
        <v>4</v>
      </c>
      <c r="J145" s="71">
        <f t="shared" si="41"/>
        <v>0</v>
      </c>
      <c r="K145" s="71">
        <f t="shared" si="41"/>
        <v>12</v>
      </c>
      <c r="L145" s="71">
        <f t="shared" si="41"/>
        <v>0</v>
      </c>
      <c r="M145" s="71">
        <f t="shared" si="41"/>
        <v>0</v>
      </c>
      <c r="N145" s="71">
        <f t="shared" si="41"/>
        <v>0</v>
      </c>
      <c r="O145" s="71">
        <f t="shared" si="41"/>
        <v>0</v>
      </c>
      <c r="P145" s="150">
        <f t="shared" si="41"/>
        <v>0</v>
      </c>
    </row>
    <row r="146" spans="1:16" ht="12.75" hidden="1">
      <c r="A146" s="125" t="s">
        <v>90</v>
      </c>
      <c r="B146" s="3" t="s">
        <v>91</v>
      </c>
      <c r="C146" s="70"/>
      <c r="D146" s="20"/>
      <c r="E146" s="20"/>
      <c r="F146" s="53"/>
      <c r="G146" s="82"/>
      <c r="H146" s="82"/>
      <c r="I146" s="82"/>
      <c r="J146" s="83"/>
      <c r="K146" s="83"/>
      <c r="L146" s="60"/>
      <c r="M146" s="83"/>
      <c r="N146" s="83"/>
      <c r="O146" s="83"/>
      <c r="P146" s="132"/>
    </row>
    <row r="147" spans="1:16" ht="12.75" hidden="1">
      <c r="A147" s="125"/>
      <c r="B147" s="73" t="s">
        <v>61</v>
      </c>
      <c r="C147" s="70" t="s">
        <v>21</v>
      </c>
      <c r="D147" s="21">
        <v>176</v>
      </c>
      <c r="E147" s="21">
        <v>176</v>
      </c>
      <c r="F147" s="53">
        <f t="shared" si="32"/>
        <v>176</v>
      </c>
      <c r="G147" s="82">
        <v>5</v>
      </c>
      <c r="H147" s="82">
        <v>2</v>
      </c>
      <c r="I147" s="82">
        <v>15</v>
      </c>
      <c r="J147" s="83"/>
      <c r="K147" s="83">
        <v>102</v>
      </c>
      <c r="L147" s="60">
        <v>5</v>
      </c>
      <c r="M147" s="83">
        <v>22</v>
      </c>
      <c r="N147" s="83"/>
      <c r="O147" s="83">
        <v>13</v>
      </c>
      <c r="P147" s="132">
        <v>12</v>
      </c>
    </row>
    <row r="148" spans="1:16" ht="12.75" hidden="1">
      <c r="A148" s="125"/>
      <c r="B148" s="73" t="s">
        <v>62</v>
      </c>
      <c r="C148" s="70" t="s">
        <v>21</v>
      </c>
      <c r="D148" s="21">
        <v>36</v>
      </c>
      <c r="E148" s="21">
        <v>36</v>
      </c>
      <c r="F148" s="53">
        <f t="shared" si="32"/>
        <v>36</v>
      </c>
      <c r="G148" s="82">
        <v>2</v>
      </c>
      <c r="H148" s="82">
        <v>0</v>
      </c>
      <c r="I148" s="82">
        <v>1</v>
      </c>
      <c r="J148" s="83"/>
      <c r="K148" s="83">
        <v>23</v>
      </c>
      <c r="L148" s="60"/>
      <c r="M148" s="83">
        <v>4</v>
      </c>
      <c r="N148" s="83"/>
      <c r="O148" s="83">
        <v>4</v>
      </c>
      <c r="P148" s="132">
        <v>2</v>
      </c>
    </row>
    <row r="149" spans="1:16" ht="12.75" hidden="1">
      <c r="A149" s="125"/>
      <c r="B149" s="73" t="s">
        <v>63</v>
      </c>
      <c r="C149" s="86" t="s">
        <v>21</v>
      </c>
      <c r="D149" s="21">
        <v>96</v>
      </c>
      <c r="E149" s="21">
        <v>96</v>
      </c>
      <c r="F149" s="53">
        <f t="shared" si="32"/>
        <v>96</v>
      </c>
      <c r="G149" s="82">
        <v>0</v>
      </c>
      <c r="H149" s="82">
        <v>2</v>
      </c>
      <c r="I149" s="82">
        <v>4</v>
      </c>
      <c r="J149" s="83"/>
      <c r="K149" s="83">
        <v>62</v>
      </c>
      <c r="L149" s="60"/>
      <c r="M149" s="83">
        <v>15</v>
      </c>
      <c r="N149" s="83"/>
      <c r="O149" s="83">
        <v>6</v>
      </c>
      <c r="P149" s="132">
        <v>7</v>
      </c>
    </row>
    <row r="150" spans="1:16" ht="12.75" hidden="1">
      <c r="A150" s="125"/>
      <c r="B150" s="73" t="s">
        <v>64</v>
      </c>
      <c r="C150" s="70" t="s">
        <v>35</v>
      </c>
      <c r="D150" s="21">
        <v>23.75</v>
      </c>
      <c r="E150" s="21">
        <v>23.75</v>
      </c>
      <c r="F150" s="53">
        <f>SUM(G150:P150)/5</f>
        <v>20.8</v>
      </c>
      <c r="G150" s="82">
        <v>0</v>
      </c>
      <c r="H150" s="82">
        <v>20</v>
      </c>
      <c r="I150" s="82">
        <v>20</v>
      </c>
      <c r="J150" s="83"/>
      <c r="K150" s="83">
        <v>27</v>
      </c>
      <c r="L150" s="60"/>
      <c r="M150" s="83">
        <v>24</v>
      </c>
      <c r="N150" s="83"/>
      <c r="O150" s="83">
        <v>13</v>
      </c>
      <c r="P150" s="132"/>
    </row>
    <row r="151" spans="1:16" ht="12.75" hidden="1">
      <c r="A151" s="125"/>
      <c r="B151" s="73" t="s">
        <v>65</v>
      </c>
      <c r="C151" s="70" t="s">
        <v>23</v>
      </c>
      <c r="D151" s="78">
        <f aca="true" t="shared" si="42" ref="D151:P151">D150*D149/10</f>
        <v>228</v>
      </c>
      <c r="E151" s="78">
        <f t="shared" si="42"/>
        <v>228</v>
      </c>
      <c r="F151" s="78">
        <f t="shared" si="42"/>
        <v>199.68</v>
      </c>
      <c r="G151" s="78">
        <f t="shared" si="42"/>
        <v>0</v>
      </c>
      <c r="H151" s="78">
        <f t="shared" si="42"/>
        <v>4</v>
      </c>
      <c r="I151" s="78">
        <f t="shared" si="42"/>
        <v>8</v>
      </c>
      <c r="J151" s="79">
        <f t="shared" si="42"/>
        <v>0</v>
      </c>
      <c r="K151" s="79">
        <f t="shared" si="42"/>
        <v>167.4</v>
      </c>
      <c r="L151" s="79">
        <f t="shared" si="42"/>
        <v>0</v>
      </c>
      <c r="M151" s="79">
        <f t="shared" si="42"/>
        <v>36</v>
      </c>
      <c r="N151" s="79">
        <f t="shared" si="42"/>
        <v>0</v>
      </c>
      <c r="O151" s="79">
        <f t="shared" si="42"/>
        <v>7.8</v>
      </c>
      <c r="P151" s="150">
        <f t="shared" si="42"/>
        <v>0</v>
      </c>
    </row>
    <row r="152" spans="1:16" ht="12.75" hidden="1">
      <c r="A152" s="113" t="s">
        <v>92</v>
      </c>
      <c r="B152" s="3" t="s">
        <v>93</v>
      </c>
      <c r="C152" s="76"/>
      <c r="D152" s="20">
        <v>0</v>
      </c>
      <c r="E152" s="20">
        <v>0</v>
      </c>
      <c r="F152" s="53">
        <f t="shared" si="32"/>
        <v>0</v>
      </c>
      <c r="G152" s="80"/>
      <c r="H152" s="80"/>
      <c r="I152" s="80"/>
      <c r="J152" s="81"/>
      <c r="K152" s="81"/>
      <c r="L152" s="60"/>
      <c r="M152" s="81"/>
      <c r="N152" s="81"/>
      <c r="O152" s="81"/>
      <c r="P152" s="132"/>
    </row>
    <row r="153" spans="1:16" ht="12.75" hidden="1">
      <c r="A153" s="125"/>
      <c r="B153" s="73" t="s">
        <v>61</v>
      </c>
      <c r="C153" s="70" t="s">
        <v>21</v>
      </c>
      <c r="D153" s="20">
        <f>1498-340</f>
        <v>1158</v>
      </c>
      <c r="E153" s="20">
        <v>1498</v>
      </c>
      <c r="F153" s="53">
        <f t="shared" si="32"/>
        <v>1498</v>
      </c>
      <c r="G153" s="29"/>
      <c r="H153" s="29">
        <v>5</v>
      </c>
      <c r="I153" s="29">
        <v>1295</v>
      </c>
      <c r="J153" s="42"/>
      <c r="K153" s="42">
        <v>57</v>
      </c>
      <c r="L153" s="60"/>
      <c r="M153" s="42"/>
      <c r="N153" s="42">
        <v>60</v>
      </c>
      <c r="O153" s="42">
        <v>36</v>
      </c>
      <c r="P153" s="132">
        <v>45</v>
      </c>
    </row>
    <row r="154" spans="1:16" ht="12.75" hidden="1">
      <c r="A154" s="125"/>
      <c r="B154" s="73" t="s">
        <v>62</v>
      </c>
      <c r="C154" s="70" t="s">
        <v>21</v>
      </c>
      <c r="D154" s="20">
        <v>48</v>
      </c>
      <c r="E154" s="20">
        <v>48</v>
      </c>
      <c r="F154" s="53">
        <f t="shared" si="32"/>
        <v>48</v>
      </c>
      <c r="G154" s="29"/>
      <c r="H154" s="85"/>
      <c r="I154" s="29"/>
      <c r="J154" s="42"/>
      <c r="K154" s="42">
        <v>12</v>
      </c>
      <c r="L154" s="60"/>
      <c r="M154" s="42"/>
      <c r="N154" s="42"/>
      <c r="O154" s="42"/>
      <c r="P154" s="132">
        <v>36</v>
      </c>
    </row>
    <row r="155" spans="1:16" ht="12.75" hidden="1">
      <c r="A155" s="125"/>
      <c r="B155" s="73" t="s">
        <v>63</v>
      </c>
      <c r="C155" s="86" t="s">
        <v>21</v>
      </c>
      <c r="D155" s="20">
        <v>1155</v>
      </c>
      <c r="E155" s="20">
        <v>1155</v>
      </c>
      <c r="F155" s="53">
        <f t="shared" si="32"/>
        <v>1155</v>
      </c>
      <c r="G155" s="29"/>
      <c r="H155" s="29">
        <v>5</v>
      </c>
      <c r="I155" s="29">
        <v>1036</v>
      </c>
      <c r="J155" s="42"/>
      <c r="K155" s="42">
        <v>40</v>
      </c>
      <c r="L155" s="60"/>
      <c r="M155" s="42"/>
      <c r="N155" s="42">
        <v>59</v>
      </c>
      <c r="O155" s="42">
        <v>15</v>
      </c>
      <c r="P155" s="132"/>
    </row>
    <row r="156" spans="1:16" ht="12.75" hidden="1">
      <c r="A156" s="125"/>
      <c r="B156" s="73" t="s">
        <v>64</v>
      </c>
      <c r="C156" s="70" t="s">
        <v>35</v>
      </c>
      <c r="D156" s="78">
        <v>173</v>
      </c>
      <c r="E156" s="78">
        <v>173</v>
      </c>
      <c r="F156" s="53">
        <f>SUM(G156:P156)/9</f>
        <v>192.22222222222223</v>
      </c>
      <c r="G156" s="78">
        <v>173</v>
      </c>
      <c r="H156" s="78">
        <v>173</v>
      </c>
      <c r="I156" s="78">
        <v>173</v>
      </c>
      <c r="J156" s="79">
        <v>173</v>
      </c>
      <c r="K156" s="79">
        <v>173</v>
      </c>
      <c r="L156" s="79">
        <v>173</v>
      </c>
      <c r="M156" s="79">
        <v>173</v>
      </c>
      <c r="N156" s="79">
        <v>173</v>
      </c>
      <c r="O156" s="79">
        <v>173</v>
      </c>
      <c r="P156" s="150">
        <v>173</v>
      </c>
    </row>
    <row r="157" spans="1:16" ht="12.75" hidden="1">
      <c r="A157" s="125"/>
      <c r="B157" s="73" t="s">
        <v>65</v>
      </c>
      <c r="C157" s="70" t="s">
        <v>23</v>
      </c>
      <c r="D157" s="53">
        <f aca="true" t="shared" si="43" ref="D157:P157">D156*D155/10</f>
        <v>19981.5</v>
      </c>
      <c r="E157" s="53">
        <f t="shared" si="43"/>
        <v>19981.5</v>
      </c>
      <c r="F157" s="53">
        <f t="shared" si="43"/>
        <v>22201.666666666668</v>
      </c>
      <c r="G157" s="53">
        <f t="shared" si="43"/>
        <v>0</v>
      </c>
      <c r="H157" s="53">
        <f t="shared" si="43"/>
        <v>86.5</v>
      </c>
      <c r="I157" s="53">
        <f t="shared" si="43"/>
        <v>17922.8</v>
      </c>
      <c r="J157" s="54">
        <f t="shared" si="43"/>
        <v>0</v>
      </c>
      <c r="K157" s="54">
        <f t="shared" si="43"/>
        <v>692</v>
      </c>
      <c r="L157" s="54">
        <f t="shared" si="43"/>
        <v>0</v>
      </c>
      <c r="M157" s="54">
        <f t="shared" si="43"/>
        <v>0</v>
      </c>
      <c r="N157" s="54">
        <f t="shared" si="43"/>
        <v>1020.7</v>
      </c>
      <c r="O157" s="54">
        <f t="shared" si="43"/>
        <v>259.5</v>
      </c>
      <c r="P157" s="122">
        <f t="shared" si="43"/>
        <v>0</v>
      </c>
    </row>
    <row r="158" spans="1:16" ht="12.75" hidden="1">
      <c r="A158" s="147" t="s">
        <v>46</v>
      </c>
      <c r="B158" s="3" t="s">
        <v>94</v>
      </c>
      <c r="C158" s="65" t="s">
        <v>21</v>
      </c>
      <c r="D158" s="20">
        <v>0</v>
      </c>
      <c r="E158" s="20">
        <v>0</v>
      </c>
      <c r="F158" s="53">
        <f t="shared" si="32"/>
        <v>0</v>
      </c>
      <c r="G158" s="87"/>
      <c r="H158" s="87"/>
      <c r="I158" s="87"/>
      <c r="J158" s="88"/>
      <c r="K158" s="88"/>
      <c r="L158" s="89"/>
      <c r="M158" s="88"/>
      <c r="N158" s="88"/>
      <c r="O158" s="88"/>
      <c r="P158" s="154"/>
    </row>
    <row r="159" spans="1:16" ht="12.75" hidden="1">
      <c r="A159" s="125"/>
      <c r="B159" s="73" t="s">
        <v>64</v>
      </c>
      <c r="C159" s="19" t="s">
        <v>35</v>
      </c>
      <c r="D159" s="20">
        <v>538.4</v>
      </c>
      <c r="E159" s="20">
        <v>538.4</v>
      </c>
      <c r="F159" s="53">
        <f t="shared" si="32"/>
        <v>538.4</v>
      </c>
      <c r="G159" s="82">
        <v>74</v>
      </c>
      <c r="H159" s="82">
        <v>54.29</v>
      </c>
      <c r="I159" s="82">
        <v>70</v>
      </c>
      <c r="J159" s="83"/>
      <c r="K159" s="83">
        <v>71.8</v>
      </c>
      <c r="L159" s="84">
        <v>70</v>
      </c>
      <c r="M159" s="83"/>
      <c r="N159" s="83">
        <v>68.31</v>
      </c>
      <c r="O159" s="83">
        <v>80</v>
      </c>
      <c r="P159" s="132">
        <v>50</v>
      </c>
    </row>
    <row r="160" spans="1:16" ht="12.75" hidden="1">
      <c r="A160" s="125"/>
      <c r="B160" s="73" t="s">
        <v>65</v>
      </c>
      <c r="C160" s="76" t="s">
        <v>95</v>
      </c>
      <c r="D160" s="20">
        <v>4058.267</v>
      </c>
      <c r="E160" s="20">
        <v>4058.267</v>
      </c>
      <c r="F160" s="53">
        <f>SUM(G160:P160)</f>
        <v>4058.267</v>
      </c>
      <c r="G160" s="80">
        <v>466.2</v>
      </c>
      <c r="H160" s="80">
        <v>38.003</v>
      </c>
      <c r="I160" s="80">
        <v>1267</v>
      </c>
      <c r="J160" s="81"/>
      <c r="K160" s="81">
        <v>639.02</v>
      </c>
      <c r="L160" s="90">
        <v>308</v>
      </c>
      <c r="M160" s="81"/>
      <c r="N160" s="81">
        <v>847.0440000000001</v>
      </c>
      <c r="O160" s="81">
        <v>488</v>
      </c>
      <c r="P160" s="132">
        <v>5</v>
      </c>
    </row>
    <row r="161" spans="1:16" ht="12.75">
      <c r="A161" s="113" t="s">
        <v>96</v>
      </c>
      <c r="B161" s="3" t="s">
        <v>97</v>
      </c>
      <c r="C161" s="65"/>
      <c r="D161" s="20"/>
      <c r="E161" s="20"/>
      <c r="F161" s="53"/>
      <c r="G161" s="91"/>
      <c r="H161" s="91"/>
      <c r="I161" s="92"/>
      <c r="J161" s="93"/>
      <c r="K161" s="94"/>
      <c r="L161" s="60"/>
      <c r="M161" s="94"/>
      <c r="N161" s="93"/>
      <c r="O161" s="94"/>
      <c r="P161" s="154"/>
    </row>
    <row r="162" spans="1:16" s="99" customFormat="1" ht="12.75">
      <c r="A162" s="123">
        <v>1</v>
      </c>
      <c r="B162" s="67" t="s">
        <v>98</v>
      </c>
      <c r="C162" s="13" t="s">
        <v>99</v>
      </c>
      <c r="D162" s="15">
        <v>19545</v>
      </c>
      <c r="E162" s="15">
        <v>15178</v>
      </c>
      <c r="F162" s="14">
        <f>SUM(G162:P162)</f>
        <v>15578</v>
      </c>
      <c r="G162" s="16">
        <v>23</v>
      </c>
      <c r="H162" s="16">
        <v>257</v>
      </c>
      <c r="I162" s="16">
        <v>723</v>
      </c>
      <c r="J162" s="38">
        <f>1805+400</f>
        <v>2205</v>
      </c>
      <c r="K162" s="38">
        <v>2883</v>
      </c>
      <c r="L162" s="39">
        <v>2126</v>
      </c>
      <c r="M162" s="38">
        <v>2819</v>
      </c>
      <c r="N162" s="38">
        <v>333</v>
      </c>
      <c r="O162" s="38">
        <v>3683</v>
      </c>
      <c r="P162" s="131">
        <v>526</v>
      </c>
    </row>
    <row r="163" spans="1:16" s="99" customFormat="1" ht="12.75">
      <c r="A163" s="123">
        <v>2</v>
      </c>
      <c r="B163" s="67" t="s">
        <v>100</v>
      </c>
      <c r="C163" s="13" t="s">
        <v>99</v>
      </c>
      <c r="D163" s="15">
        <v>59773</v>
      </c>
      <c r="E163" s="15">
        <v>32700</v>
      </c>
      <c r="F163" s="14">
        <f>SUM(G163:P163)</f>
        <v>34200</v>
      </c>
      <c r="G163" s="16">
        <v>359</v>
      </c>
      <c r="H163" s="16">
        <v>1106</v>
      </c>
      <c r="I163" s="16">
        <v>1816</v>
      </c>
      <c r="J163" s="38">
        <v>5931</v>
      </c>
      <c r="K163" s="38">
        <v>8242</v>
      </c>
      <c r="L163" s="39">
        <v>6436</v>
      </c>
      <c r="M163" s="38">
        <v>2664</v>
      </c>
      <c r="N163" s="38">
        <v>1519</v>
      </c>
      <c r="O163" s="38">
        <v>4623</v>
      </c>
      <c r="P163" s="131">
        <v>1504</v>
      </c>
    </row>
    <row r="164" spans="1:16" s="99" customFormat="1" ht="12.75">
      <c r="A164" s="123">
        <v>3</v>
      </c>
      <c r="B164" s="67" t="s">
        <v>101</v>
      </c>
      <c r="C164" s="13" t="s">
        <v>99</v>
      </c>
      <c r="D164" s="15">
        <v>213016</v>
      </c>
      <c r="E164" s="15">
        <v>249241</v>
      </c>
      <c r="F164" s="14">
        <f>SUM(G164:P164)</f>
        <v>252061</v>
      </c>
      <c r="G164" s="16">
        <f>8765</f>
        <v>8765</v>
      </c>
      <c r="H164" s="16">
        <f>11872</f>
        <v>11872</v>
      </c>
      <c r="I164" s="16">
        <f>20530</f>
        <v>20530</v>
      </c>
      <c r="J164" s="38">
        <f>31350+500</f>
        <v>31850</v>
      </c>
      <c r="K164" s="38">
        <f>52098+500</f>
        <v>52598</v>
      </c>
      <c r="L164" s="39">
        <f>12627+500</f>
        <v>13127</v>
      </c>
      <c r="M164" s="38">
        <f>33477+500</f>
        <v>33977</v>
      </c>
      <c r="N164" s="38">
        <f>27569+500</f>
        <v>28069</v>
      </c>
      <c r="O164" s="38">
        <f>26627+500</f>
        <v>27127</v>
      </c>
      <c r="P164" s="131">
        <f>24146</f>
        <v>24146</v>
      </c>
    </row>
    <row r="165" spans="1:16" s="99" customFormat="1" ht="12.75">
      <c r="A165" s="123">
        <v>4</v>
      </c>
      <c r="B165" s="67" t="s">
        <v>102</v>
      </c>
      <c r="C165" s="13" t="s">
        <v>103</v>
      </c>
      <c r="D165" s="15">
        <v>3194</v>
      </c>
      <c r="E165" s="15">
        <v>3826.4</v>
      </c>
      <c r="F165" s="14">
        <f>SUM(G165:P165)</f>
        <v>3912.7999999999997</v>
      </c>
      <c r="G165" s="16">
        <v>64.5</v>
      </c>
      <c r="H165" s="16">
        <v>56</v>
      </c>
      <c r="I165" s="16">
        <v>84.4</v>
      </c>
      <c r="J165" s="38">
        <f>402+100</f>
        <v>502</v>
      </c>
      <c r="K165" s="38">
        <v>371</v>
      </c>
      <c r="L165" s="38">
        <v>127.3</v>
      </c>
      <c r="M165" s="38">
        <f>805+100</f>
        <v>905</v>
      </c>
      <c r="N165" s="38">
        <f>828+100</f>
        <v>928</v>
      </c>
      <c r="O165" s="39">
        <v>512.6</v>
      </c>
      <c r="P165" s="131">
        <v>362</v>
      </c>
    </row>
    <row r="166" spans="1:16" ht="13.5" thickBot="1">
      <c r="A166" s="155"/>
      <c r="B166" s="156"/>
      <c r="C166" s="157"/>
      <c r="D166" s="158"/>
      <c r="E166" s="159"/>
      <c r="F166" s="160"/>
      <c r="G166" s="157"/>
      <c r="H166" s="157"/>
      <c r="I166" s="157"/>
      <c r="J166" s="157"/>
      <c r="K166" s="157"/>
      <c r="L166" s="157"/>
      <c r="M166" s="157"/>
      <c r="N166" s="157"/>
      <c r="O166" s="157"/>
      <c r="P166" s="161"/>
    </row>
    <row r="167" ht="12.75">
      <c r="B167" s="95"/>
    </row>
    <row r="168" ht="12.75">
      <c r="B168" s="95"/>
    </row>
    <row r="169" spans="2:4" ht="12.75">
      <c r="B169" s="95"/>
      <c r="D169" s="107"/>
    </row>
    <row r="170" spans="2:4" ht="12.75">
      <c r="B170" s="95"/>
      <c r="D170" s="107"/>
    </row>
    <row r="171" ht="12.75">
      <c r="B171" s="95"/>
    </row>
  </sheetData>
  <mergeCells count="12">
    <mergeCell ref="A3:P3"/>
    <mergeCell ref="A2:P2"/>
    <mergeCell ref="A5:B5"/>
    <mergeCell ref="A1:P1"/>
    <mergeCell ref="E6:E7"/>
    <mergeCell ref="F6:F7"/>
    <mergeCell ref="G6:P6"/>
    <mergeCell ref="A4:P4"/>
    <mergeCell ref="A6:A7"/>
    <mergeCell ref="B6:B7"/>
    <mergeCell ref="C6:C7"/>
    <mergeCell ref="D6:D7"/>
  </mergeCells>
  <printOptions/>
  <pageMargins left="0.16" right="0.15" top="0.93" bottom="0.56" header="0.5" footer="0.18"/>
  <pageSetup horizontalDpi="600" verticalDpi="600" orientation="landscape" r:id="rId2"/>
  <headerFooter alignWithMargins="0">
    <oddFooter>&amp;C&amp;P</oddFooter>
  </headerFooter>
  <ignoredErrors>
    <ignoredError sqref="F18:F46 E15:E16 E4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:O1"/>
    </sheetView>
  </sheetViews>
  <sheetFormatPr defaultColWidth="9.33203125" defaultRowHeight="12.75"/>
  <cols>
    <col min="1" max="1" width="6" style="0" customWidth="1"/>
    <col min="2" max="2" width="30" style="0" customWidth="1"/>
    <col min="3" max="3" width="11.33203125" style="0" customWidth="1"/>
    <col min="4" max="5" width="12.33203125" style="0" customWidth="1"/>
  </cols>
  <sheetData>
    <row r="1" spans="1:15" ht="18.75">
      <c r="A1" s="506" t="s">
        <v>108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5" ht="18.75">
      <c r="A2" s="507" t="s">
        <v>107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</row>
    <row r="3" spans="1:15" ht="18.7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</row>
    <row r="4" spans="1:15" ht="13.5" thickBot="1">
      <c r="A4" s="166"/>
      <c r="B4" s="166"/>
      <c r="C4" s="167"/>
      <c r="D4" s="167"/>
      <c r="E4" s="168"/>
      <c r="F4" s="166"/>
      <c r="G4" s="166"/>
      <c r="H4" s="166"/>
      <c r="I4" s="166"/>
      <c r="J4" s="166"/>
      <c r="K4" s="166"/>
      <c r="L4" s="166"/>
      <c r="M4" s="169"/>
      <c r="N4" s="170"/>
      <c r="O4" s="170"/>
    </row>
    <row r="5" spans="1:15" ht="15.75">
      <c r="A5" s="508" t="s">
        <v>0</v>
      </c>
      <c r="B5" s="510" t="s">
        <v>109</v>
      </c>
      <c r="C5" s="510" t="s">
        <v>2</v>
      </c>
      <c r="D5" s="512" t="s">
        <v>110</v>
      </c>
      <c r="E5" s="512" t="s">
        <v>111</v>
      </c>
      <c r="F5" s="514" t="s">
        <v>112</v>
      </c>
      <c r="G5" s="514"/>
      <c r="H5" s="514"/>
      <c r="I5" s="514"/>
      <c r="J5" s="514"/>
      <c r="K5" s="514"/>
      <c r="L5" s="514"/>
      <c r="M5" s="514"/>
      <c r="N5" s="514"/>
      <c r="O5" s="515"/>
    </row>
    <row r="6" spans="1:15" ht="63">
      <c r="A6" s="509"/>
      <c r="B6" s="511"/>
      <c r="C6" s="511"/>
      <c r="D6" s="513"/>
      <c r="E6" s="513"/>
      <c r="F6" s="178" t="s">
        <v>113</v>
      </c>
      <c r="G6" s="178" t="s">
        <v>114</v>
      </c>
      <c r="H6" s="178" t="s">
        <v>115</v>
      </c>
      <c r="I6" s="178" t="s">
        <v>116</v>
      </c>
      <c r="J6" s="178" t="s">
        <v>117</v>
      </c>
      <c r="K6" s="178" t="s">
        <v>118</v>
      </c>
      <c r="L6" s="178" t="s">
        <v>119</v>
      </c>
      <c r="M6" s="178" t="s">
        <v>120</v>
      </c>
      <c r="N6" s="178" t="s">
        <v>121</v>
      </c>
      <c r="O6" s="179" t="s">
        <v>122</v>
      </c>
    </row>
    <row r="7" spans="1:15" ht="15.75">
      <c r="A7" s="198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200">
        <v>15</v>
      </c>
    </row>
    <row r="8" spans="1:15" ht="28.5">
      <c r="A8" s="180"/>
      <c r="B8" s="181" t="s">
        <v>123</v>
      </c>
      <c r="C8" s="182" t="s">
        <v>124</v>
      </c>
      <c r="D8" s="171">
        <f>SUM(D9:D11)</f>
        <v>19893.6</v>
      </c>
      <c r="E8" s="172">
        <f>SUM(E9:E11)</f>
        <v>24368</v>
      </c>
      <c r="F8" s="172">
        <f>F9+F10+F11</f>
        <v>1803</v>
      </c>
      <c r="G8" s="172">
        <f aca="true" t="shared" si="0" ref="G8:O8">G9+G10+G11</f>
        <v>4343</v>
      </c>
      <c r="H8" s="172">
        <f t="shared" si="0"/>
        <v>5289</v>
      </c>
      <c r="I8" s="172">
        <f t="shared" si="0"/>
        <v>981</v>
      </c>
      <c r="J8" s="172">
        <f t="shared" si="0"/>
        <v>3701</v>
      </c>
      <c r="K8" s="172">
        <f t="shared" si="0"/>
        <v>443</v>
      </c>
      <c r="L8" s="172">
        <f t="shared" si="0"/>
        <v>1740</v>
      </c>
      <c r="M8" s="172">
        <f t="shared" si="0"/>
        <v>1673</v>
      </c>
      <c r="N8" s="172">
        <f t="shared" si="0"/>
        <v>3788</v>
      </c>
      <c r="O8" s="173">
        <f t="shared" si="0"/>
        <v>607</v>
      </c>
    </row>
    <row r="9" spans="1:15" ht="15">
      <c r="A9" s="183"/>
      <c r="B9" s="184" t="s">
        <v>125</v>
      </c>
      <c r="C9" s="185" t="s">
        <v>124</v>
      </c>
      <c r="D9" s="186">
        <v>6809.55</v>
      </c>
      <c r="E9" s="187">
        <f>SUM(F9:O9)</f>
        <v>8895</v>
      </c>
      <c r="F9" s="174">
        <v>317</v>
      </c>
      <c r="G9" s="174">
        <v>1812</v>
      </c>
      <c r="H9" s="174">
        <v>3057</v>
      </c>
      <c r="I9" s="174">
        <v>0</v>
      </c>
      <c r="J9" s="174">
        <v>1504</v>
      </c>
      <c r="K9" s="174">
        <v>0</v>
      </c>
      <c r="L9" s="174">
        <v>1343</v>
      </c>
      <c r="M9" s="174">
        <v>0</v>
      </c>
      <c r="N9" s="174">
        <v>862</v>
      </c>
      <c r="O9" s="188">
        <v>0</v>
      </c>
    </row>
    <row r="10" spans="1:15" ht="15">
      <c r="A10" s="183"/>
      <c r="B10" s="189" t="s">
        <v>126</v>
      </c>
      <c r="C10" s="185" t="s">
        <v>124</v>
      </c>
      <c r="D10" s="190">
        <v>8827.71</v>
      </c>
      <c r="E10" s="187">
        <f>SUM(F10:O10)</f>
        <v>10291</v>
      </c>
      <c r="F10" s="174">
        <v>696</v>
      </c>
      <c r="G10" s="174">
        <v>2531</v>
      </c>
      <c r="H10" s="174">
        <v>2232</v>
      </c>
      <c r="I10" s="174">
        <v>696</v>
      </c>
      <c r="J10" s="174">
        <v>1407</v>
      </c>
      <c r="K10" s="174">
        <v>443</v>
      </c>
      <c r="L10" s="174">
        <v>397</v>
      </c>
      <c r="M10" s="174">
        <v>1278</v>
      </c>
      <c r="N10" s="174">
        <v>199</v>
      </c>
      <c r="O10" s="188">
        <v>412</v>
      </c>
    </row>
    <row r="11" spans="1:15" ht="30">
      <c r="A11" s="183"/>
      <c r="B11" s="184" t="s">
        <v>127</v>
      </c>
      <c r="C11" s="185" t="s">
        <v>124</v>
      </c>
      <c r="D11" s="190">
        <v>4256.34</v>
      </c>
      <c r="E11" s="187">
        <f>SUM(F11:O11)</f>
        <v>5182</v>
      </c>
      <c r="F11" s="174">
        <v>790</v>
      </c>
      <c r="G11" s="174">
        <v>0</v>
      </c>
      <c r="H11" s="174">
        <v>0</v>
      </c>
      <c r="I11" s="174">
        <v>285</v>
      </c>
      <c r="J11" s="174">
        <v>790</v>
      </c>
      <c r="K11" s="174">
        <v>0</v>
      </c>
      <c r="L11" s="174">
        <v>0</v>
      </c>
      <c r="M11" s="174">
        <v>395</v>
      </c>
      <c r="N11" s="174">
        <v>2727</v>
      </c>
      <c r="O11" s="175">
        <v>195</v>
      </c>
    </row>
    <row r="12" spans="1:15" ht="15">
      <c r="A12" s="183" t="s">
        <v>19</v>
      </c>
      <c r="B12" s="191" t="s">
        <v>128</v>
      </c>
      <c r="C12" s="192"/>
      <c r="D12" s="193"/>
      <c r="E12" s="174"/>
      <c r="F12" s="174"/>
      <c r="G12" s="194"/>
      <c r="H12" s="174"/>
      <c r="I12" s="174"/>
      <c r="J12" s="174"/>
      <c r="K12" s="174"/>
      <c r="L12" s="174"/>
      <c r="M12" s="174"/>
      <c r="N12" s="174"/>
      <c r="O12" s="195"/>
    </row>
    <row r="13" spans="1:15" ht="15">
      <c r="A13" s="196">
        <v>1</v>
      </c>
      <c r="B13" s="189" t="s">
        <v>129</v>
      </c>
      <c r="C13" s="174" t="s">
        <v>130</v>
      </c>
      <c r="D13" s="174">
        <v>751</v>
      </c>
      <c r="E13" s="174">
        <v>800</v>
      </c>
      <c r="F13" s="174" t="s">
        <v>131</v>
      </c>
      <c r="G13" s="187">
        <v>130</v>
      </c>
      <c r="H13" s="174"/>
      <c r="I13" s="174">
        <v>158</v>
      </c>
      <c r="J13" s="174">
        <v>75</v>
      </c>
      <c r="K13" s="174">
        <v>125</v>
      </c>
      <c r="L13" s="174">
        <v>37</v>
      </c>
      <c r="M13" s="174">
        <v>70</v>
      </c>
      <c r="N13" s="174"/>
      <c r="O13" s="175">
        <v>205</v>
      </c>
    </row>
    <row r="14" spans="1:15" ht="15">
      <c r="A14" s="196">
        <v>2</v>
      </c>
      <c r="B14" s="189" t="s">
        <v>132</v>
      </c>
      <c r="C14" s="174" t="s">
        <v>133</v>
      </c>
      <c r="D14" s="174">
        <v>17000</v>
      </c>
      <c r="E14" s="174">
        <v>19000</v>
      </c>
      <c r="F14" s="174">
        <v>2100</v>
      </c>
      <c r="G14" s="187">
        <v>1950</v>
      </c>
      <c r="H14" s="174">
        <v>10500</v>
      </c>
      <c r="I14" s="174" t="s">
        <v>131</v>
      </c>
      <c r="J14" s="174">
        <v>1800</v>
      </c>
      <c r="K14" s="174">
        <v>950</v>
      </c>
      <c r="L14" s="174" t="s">
        <v>131</v>
      </c>
      <c r="M14" s="174" t="s">
        <v>131</v>
      </c>
      <c r="N14" s="174">
        <v>850</v>
      </c>
      <c r="O14" s="175">
        <v>850</v>
      </c>
    </row>
    <row r="15" spans="1:15" ht="15">
      <c r="A15" s="196">
        <v>3</v>
      </c>
      <c r="B15" s="189" t="s">
        <v>134</v>
      </c>
      <c r="C15" s="174" t="s">
        <v>135</v>
      </c>
      <c r="D15" s="174">
        <v>40000</v>
      </c>
      <c r="E15" s="174">
        <v>60000</v>
      </c>
      <c r="F15" s="174">
        <v>1700</v>
      </c>
      <c r="G15" s="187">
        <v>250</v>
      </c>
      <c r="H15" s="174">
        <v>18500</v>
      </c>
      <c r="I15" s="174">
        <v>11500</v>
      </c>
      <c r="J15" s="174">
        <v>13500</v>
      </c>
      <c r="K15" s="174">
        <v>1800</v>
      </c>
      <c r="L15" s="174">
        <v>650</v>
      </c>
      <c r="M15" s="174">
        <v>6200</v>
      </c>
      <c r="N15" s="174">
        <v>5200</v>
      </c>
      <c r="O15" s="175">
        <v>700</v>
      </c>
    </row>
    <row r="16" spans="1:15" ht="15">
      <c r="A16" s="196">
        <v>4</v>
      </c>
      <c r="B16" s="189" t="s">
        <v>136</v>
      </c>
      <c r="C16" s="174" t="s">
        <v>135</v>
      </c>
      <c r="D16" s="174">
        <v>83000</v>
      </c>
      <c r="E16" s="174">
        <v>100000</v>
      </c>
      <c r="F16" s="174">
        <v>350</v>
      </c>
      <c r="G16" s="174">
        <v>125</v>
      </c>
      <c r="H16" s="174">
        <v>110</v>
      </c>
      <c r="I16" s="174">
        <v>19600</v>
      </c>
      <c r="J16" s="174">
        <v>66700</v>
      </c>
      <c r="K16" s="174">
        <v>5800</v>
      </c>
      <c r="L16" s="174">
        <v>115</v>
      </c>
      <c r="M16" s="174">
        <v>8200</v>
      </c>
      <c r="N16" s="174">
        <v>12500</v>
      </c>
      <c r="O16" s="188">
        <v>6500</v>
      </c>
    </row>
    <row r="17" spans="1:15" ht="15">
      <c r="A17" s="196">
        <v>5</v>
      </c>
      <c r="B17" s="189" t="s">
        <v>137</v>
      </c>
      <c r="C17" s="174" t="s">
        <v>138</v>
      </c>
      <c r="D17" s="174">
        <v>1730</v>
      </c>
      <c r="E17" s="174">
        <v>1750</v>
      </c>
      <c r="F17" s="174" t="s">
        <v>131</v>
      </c>
      <c r="G17" s="174" t="s">
        <v>131</v>
      </c>
      <c r="H17" s="174">
        <v>760</v>
      </c>
      <c r="I17" s="174" t="s">
        <v>131</v>
      </c>
      <c r="J17" s="174">
        <v>650</v>
      </c>
      <c r="K17" s="174" t="s">
        <v>131</v>
      </c>
      <c r="L17" s="174">
        <v>315</v>
      </c>
      <c r="M17" s="174">
        <v>75</v>
      </c>
      <c r="N17" s="174" t="s">
        <v>131</v>
      </c>
      <c r="O17" s="188"/>
    </row>
    <row r="18" spans="1:15" ht="15">
      <c r="A18" s="196">
        <v>6</v>
      </c>
      <c r="B18" s="189" t="s">
        <v>139</v>
      </c>
      <c r="C18" s="174" t="s">
        <v>140</v>
      </c>
      <c r="D18" s="174">
        <v>800</v>
      </c>
      <c r="E18" s="174">
        <v>950</v>
      </c>
      <c r="F18" s="174" t="s">
        <v>131</v>
      </c>
      <c r="G18" s="187">
        <v>950</v>
      </c>
      <c r="H18" s="174" t="s">
        <v>131</v>
      </c>
      <c r="I18" s="174" t="s">
        <v>131</v>
      </c>
      <c r="J18" s="174" t="s">
        <v>131</v>
      </c>
      <c r="K18" s="174" t="s">
        <v>131</v>
      </c>
      <c r="L18" s="174" t="s">
        <v>131</v>
      </c>
      <c r="M18" s="174" t="s">
        <v>131</v>
      </c>
      <c r="N18" s="174" t="s">
        <v>131</v>
      </c>
      <c r="O18" s="188" t="s">
        <v>131</v>
      </c>
    </row>
    <row r="19" spans="1:15" ht="15">
      <c r="A19" s="196">
        <v>7</v>
      </c>
      <c r="B19" s="189" t="s">
        <v>141</v>
      </c>
      <c r="C19" s="174" t="s">
        <v>140</v>
      </c>
      <c r="D19" s="174">
        <v>1600</v>
      </c>
      <c r="E19" s="174">
        <v>1700</v>
      </c>
      <c r="F19" s="174" t="s">
        <v>131</v>
      </c>
      <c r="G19" s="187">
        <v>1700</v>
      </c>
      <c r="H19" s="174" t="s">
        <v>131</v>
      </c>
      <c r="I19" s="174" t="s">
        <v>131</v>
      </c>
      <c r="J19" s="174" t="s">
        <v>131</v>
      </c>
      <c r="K19" s="174" t="s">
        <v>131</v>
      </c>
      <c r="L19" s="174" t="s">
        <v>131</v>
      </c>
      <c r="M19" s="174" t="s">
        <v>131</v>
      </c>
      <c r="N19" s="174" t="s">
        <v>131</v>
      </c>
      <c r="O19" s="188" t="s">
        <v>131</v>
      </c>
    </row>
    <row r="20" spans="1:15" ht="15">
      <c r="A20" s="196">
        <v>8</v>
      </c>
      <c r="B20" s="189" t="s">
        <v>142</v>
      </c>
      <c r="C20" s="174" t="s">
        <v>143</v>
      </c>
      <c r="D20" s="174">
        <v>25156</v>
      </c>
      <c r="E20" s="174">
        <v>28000</v>
      </c>
      <c r="F20" s="174">
        <v>8500</v>
      </c>
      <c r="G20" s="174" t="s">
        <v>131</v>
      </c>
      <c r="H20" s="174" t="s">
        <v>131</v>
      </c>
      <c r="I20" s="174" t="s">
        <v>131</v>
      </c>
      <c r="J20" s="174" t="s">
        <v>131</v>
      </c>
      <c r="K20" s="174" t="s">
        <v>131</v>
      </c>
      <c r="L20" s="174" t="s">
        <v>131</v>
      </c>
      <c r="M20" s="174" t="s">
        <v>131</v>
      </c>
      <c r="N20" s="174">
        <v>14000</v>
      </c>
      <c r="O20" s="188">
        <v>5500</v>
      </c>
    </row>
    <row r="21" spans="1:15" ht="14.25">
      <c r="A21" s="183" t="s">
        <v>57</v>
      </c>
      <c r="B21" s="191" t="s">
        <v>144</v>
      </c>
      <c r="C21" s="192" t="s">
        <v>124</v>
      </c>
      <c r="D21" s="193">
        <v>350</v>
      </c>
      <c r="E21" s="193">
        <f>SUM(F21:O21)</f>
        <v>446.24999999999994</v>
      </c>
      <c r="F21" s="193">
        <f>56*1.05</f>
        <v>58.800000000000004</v>
      </c>
      <c r="G21" s="193">
        <f>43*1.05</f>
        <v>45.15</v>
      </c>
      <c r="H21" s="193">
        <f>35*1.05</f>
        <v>36.75</v>
      </c>
      <c r="I21" s="193">
        <f>69*1.05</f>
        <v>72.45</v>
      </c>
      <c r="J21" s="193">
        <f>43*1.05</f>
        <v>45.15</v>
      </c>
      <c r="K21" s="193">
        <f>29*1.05</f>
        <v>30.450000000000003</v>
      </c>
      <c r="L21" s="193">
        <f>39*1.05</f>
        <v>40.95</v>
      </c>
      <c r="M21" s="193">
        <f>32*1.05</f>
        <v>33.6</v>
      </c>
      <c r="N21" s="193">
        <f>48*1.05</f>
        <v>50.400000000000006</v>
      </c>
      <c r="O21" s="197">
        <f>31*1.05</f>
        <v>32.550000000000004</v>
      </c>
    </row>
  </sheetData>
  <mergeCells count="9">
    <mergeCell ref="A1:O1"/>
    <mergeCell ref="A2:O2"/>
    <mergeCell ref="A3:O3"/>
    <mergeCell ref="A5:A6"/>
    <mergeCell ref="B5:B6"/>
    <mergeCell ref="C5:C6"/>
    <mergeCell ref="D5:D6"/>
    <mergeCell ref="E5:E6"/>
    <mergeCell ref="F5:O5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F1"/>
    </sheetView>
  </sheetViews>
  <sheetFormatPr defaultColWidth="9.33203125" defaultRowHeight="12.75"/>
  <cols>
    <col min="1" max="1" width="12.5" style="0" customWidth="1"/>
    <col min="2" max="2" width="43" style="0" customWidth="1"/>
    <col min="3" max="3" width="13" style="0" customWidth="1"/>
    <col min="4" max="4" width="17.5" style="0" customWidth="1"/>
    <col min="5" max="5" width="13.83203125" style="0" customWidth="1"/>
    <col min="6" max="6" width="16.5" style="0" customWidth="1"/>
  </cols>
  <sheetData>
    <row r="1" spans="1:6" ht="18.75">
      <c r="A1" s="516" t="s">
        <v>145</v>
      </c>
      <c r="B1" s="516"/>
      <c r="C1" s="516"/>
      <c r="D1" s="516"/>
      <c r="E1" s="516"/>
      <c r="F1" s="516"/>
    </row>
    <row r="2" spans="1:6" ht="18.75">
      <c r="A2" s="517" t="s">
        <v>107</v>
      </c>
      <c r="B2" s="517"/>
      <c r="C2" s="517"/>
      <c r="D2" s="517"/>
      <c r="E2" s="517"/>
      <c r="F2" s="517"/>
    </row>
    <row r="3" spans="1:6" ht="16.5">
      <c r="A3" s="518"/>
      <c r="B3" s="518"/>
      <c r="C3" s="518"/>
      <c r="D3" s="518"/>
      <c r="E3" s="518"/>
      <c r="F3" s="518"/>
    </row>
    <row r="4" spans="1:6" ht="13.5" thickBot="1">
      <c r="A4" s="201"/>
      <c r="B4" s="202"/>
      <c r="C4" s="202"/>
      <c r="D4" s="202"/>
      <c r="E4" s="202"/>
      <c r="F4" s="202"/>
    </row>
    <row r="5" spans="1:6" ht="31.5">
      <c r="A5" s="176" t="s">
        <v>146</v>
      </c>
      <c r="B5" s="177" t="s">
        <v>147</v>
      </c>
      <c r="C5" s="177" t="s">
        <v>2</v>
      </c>
      <c r="D5" s="177" t="s">
        <v>148</v>
      </c>
      <c r="E5" s="177" t="s">
        <v>5</v>
      </c>
      <c r="F5" s="203" t="s">
        <v>149</v>
      </c>
    </row>
    <row r="6" spans="1:6" ht="15.75">
      <c r="A6" s="204">
        <v>1</v>
      </c>
      <c r="B6" s="205">
        <v>2</v>
      </c>
      <c r="C6" s="205">
        <v>3</v>
      </c>
      <c r="D6" s="206">
        <v>4</v>
      </c>
      <c r="E6" s="206">
        <v>5</v>
      </c>
      <c r="F6" s="207">
        <v>6</v>
      </c>
    </row>
    <row r="7" spans="1:6" ht="31.5">
      <c r="A7" s="208" t="s">
        <v>24</v>
      </c>
      <c r="B7" s="209" t="s">
        <v>150</v>
      </c>
      <c r="C7" s="210" t="s">
        <v>151</v>
      </c>
      <c r="D7" s="211">
        <v>600000</v>
      </c>
      <c r="E7" s="211">
        <v>700000</v>
      </c>
      <c r="F7" s="212"/>
    </row>
    <row r="8" spans="1:6" ht="15.75">
      <c r="A8" s="213"/>
      <c r="B8" s="220" t="s">
        <v>152</v>
      </c>
      <c r="C8" s="215"/>
      <c r="D8" s="216"/>
      <c r="E8" s="219"/>
      <c r="F8" s="217"/>
    </row>
    <row r="9" spans="1:6" ht="15.75">
      <c r="A9" s="218">
        <v>1</v>
      </c>
      <c r="B9" s="221" t="s">
        <v>153</v>
      </c>
      <c r="C9" s="222" t="s">
        <v>154</v>
      </c>
      <c r="D9" s="219">
        <v>101206</v>
      </c>
      <c r="E9" s="219">
        <v>102500</v>
      </c>
      <c r="F9" s="217"/>
    </row>
    <row r="10" spans="1:6" ht="15.75">
      <c r="A10" s="218">
        <v>2</v>
      </c>
      <c r="B10" s="221" t="s">
        <v>155</v>
      </c>
      <c r="C10" s="222" t="s">
        <v>154</v>
      </c>
      <c r="D10" s="219">
        <v>18706</v>
      </c>
      <c r="E10" s="219">
        <v>19000</v>
      </c>
      <c r="F10" s="217"/>
    </row>
    <row r="11" spans="1:6" ht="31.5">
      <c r="A11" s="218">
        <v>3</v>
      </c>
      <c r="B11" s="221" t="s">
        <v>156</v>
      </c>
      <c r="C11" s="222" t="s">
        <v>151</v>
      </c>
      <c r="D11" s="219">
        <v>42141</v>
      </c>
      <c r="E11" s="219">
        <v>55000</v>
      </c>
      <c r="F11" s="217"/>
    </row>
    <row r="12" spans="1:6" ht="31.5">
      <c r="A12" s="218">
        <v>4</v>
      </c>
      <c r="B12" s="221" t="s">
        <v>157</v>
      </c>
      <c r="C12" s="222" t="s">
        <v>151</v>
      </c>
      <c r="D12" s="219">
        <v>31422</v>
      </c>
      <c r="E12" s="219">
        <v>33000</v>
      </c>
      <c r="F12" s="217"/>
    </row>
    <row r="13" spans="1:6" ht="31.5">
      <c r="A13" s="218">
        <v>5</v>
      </c>
      <c r="B13" s="221" t="s">
        <v>158</v>
      </c>
      <c r="C13" s="222" t="s">
        <v>151</v>
      </c>
      <c r="D13" s="219">
        <v>21746</v>
      </c>
      <c r="E13" s="219">
        <v>23500</v>
      </c>
      <c r="F13" s="217"/>
    </row>
    <row r="14" spans="1:6" ht="31.5">
      <c r="A14" s="218">
        <v>6</v>
      </c>
      <c r="B14" s="221" t="s">
        <v>159</v>
      </c>
      <c r="C14" s="222" t="s">
        <v>151</v>
      </c>
      <c r="D14" s="219">
        <v>13646</v>
      </c>
      <c r="E14" s="219">
        <v>18000</v>
      </c>
      <c r="F14" s="217"/>
    </row>
    <row r="15" spans="1:6" ht="31.5">
      <c r="A15" s="218">
        <v>7</v>
      </c>
      <c r="B15" s="221" t="s">
        <v>160</v>
      </c>
      <c r="C15" s="222" t="s">
        <v>151</v>
      </c>
      <c r="D15" s="219">
        <v>42541</v>
      </c>
      <c r="E15" s="219">
        <v>45000</v>
      </c>
      <c r="F15" s="217"/>
    </row>
    <row r="16" spans="1:6" ht="31.5">
      <c r="A16" s="213" t="s">
        <v>42</v>
      </c>
      <c r="B16" s="223" t="s">
        <v>161</v>
      </c>
      <c r="C16" s="224" t="s">
        <v>151</v>
      </c>
      <c r="D16" s="216">
        <v>133000</v>
      </c>
      <c r="E16" s="216">
        <v>145000</v>
      </c>
      <c r="F16" s="225"/>
    </row>
    <row r="17" spans="1:6" ht="15.75">
      <c r="A17" s="218"/>
      <c r="B17" s="220" t="s">
        <v>152</v>
      </c>
      <c r="C17" s="222"/>
      <c r="D17" s="226"/>
      <c r="E17" s="219"/>
      <c r="F17" s="217"/>
    </row>
    <row r="18" spans="1:6" ht="15.75">
      <c r="A18" s="218"/>
      <c r="B18" s="221" t="s">
        <v>162</v>
      </c>
      <c r="C18" s="227" t="s">
        <v>135</v>
      </c>
      <c r="D18" s="219">
        <v>5000</v>
      </c>
      <c r="E18" s="219">
        <v>6000</v>
      </c>
      <c r="F18" s="217"/>
    </row>
    <row r="19" spans="1:6" ht="15.75">
      <c r="A19" s="218"/>
      <c r="B19" s="221" t="s">
        <v>163</v>
      </c>
      <c r="C19" s="222" t="s">
        <v>135</v>
      </c>
      <c r="D19" s="219">
        <v>5600</v>
      </c>
      <c r="E19" s="219">
        <v>8000</v>
      </c>
      <c r="F19" s="228"/>
    </row>
    <row r="20" spans="1:6" ht="31.5">
      <c r="A20" s="218"/>
      <c r="B20" s="221" t="s">
        <v>164</v>
      </c>
      <c r="C20" s="222" t="s">
        <v>151</v>
      </c>
      <c r="D20" s="219">
        <v>22433</v>
      </c>
      <c r="E20" s="219">
        <v>40000</v>
      </c>
      <c r="F20" s="228"/>
    </row>
    <row r="21" spans="1:6" ht="15.75">
      <c r="A21" s="218"/>
      <c r="B21" s="221" t="s">
        <v>160</v>
      </c>
      <c r="C21" s="227" t="s">
        <v>151</v>
      </c>
      <c r="D21" s="219">
        <v>88790</v>
      </c>
      <c r="E21" s="219">
        <v>97000</v>
      </c>
      <c r="F21" s="228"/>
    </row>
    <row r="22" spans="1:6" ht="31.5">
      <c r="A22" s="213" t="s">
        <v>46</v>
      </c>
      <c r="B22" s="214" t="s">
        <v>165</v>
      </c>
      <c r="C22" s="229" t="s">
        <v>124</v>
      </c>
      <c r="D22" s="216">
        <v>20320</v>
      </c>
      <c r="E22" s="216">
        <v>25500</v>
      </c>
      <c r="F22" s="225"/>
    </row>
    <row r="23" spans="1:6" ht="13.5" thickBot="1">
      <c r="A23" s="230"/>
      <c r="B23" s="231"/>
      <c r="C23" s="231"/>
      <c r="D23" s="231"/>
      <c r="E23" s="231"/>
      <c r="F23" s="232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"/>
    </sheetView>
  </sheetViews>
  <sheetFormatPr defaultColWidth="9.33203125" defaultRowHeight="12.75"/>
  <cols>
    <col min="2" max="2" width="32.33203125" style="0" customWidth="1"/>
    <col min="3" max="3" width="19.66015625" style="0" customWidth="1"/>
    <col min="4" max="4" width="20.5" style="0" customWidth="1"/>
    <col min="5" max="5" width="28.66015625" style="0" customWidth="1"/>
  </cols>
  <sheetData>
    <row r="1" spans="1:5" ht="18.75">
      <c r="A1" s="516" t="s">
        <v>166</v>
      </c>
      <c r="B1" s="516"/>
      <c r="C1" s="516"/>
      <c r="D1" s="516"/>
      <c r="E1" s="516"/>
    </row>
    <row r="2" spans="1:5" ht="18.75">
      <c r="A2" s="495" t="s">
        <v>107</v>
      </c>
      <c r="B2" s="495"/>
      <c r="C2" s="495"/>
      <c r="D2" s="495"/>
      <c r="E2" s="495"/>
    </row>
    <row r="3" spans="1:5" ht="16.5">
      <c r="A3" s="519"/>
      <c r="B3" s="519"/>
      <c r="C3" s="519"/>
      <c r="D3" s="519"/>
      <c r="E3" s="519"/>
    </row>
    <row r="4" spans="1:5" ht="17.25" thickBot="1">
      <c r="A4" s="233"/>
      <c r="B4" s="233"/>
      <c r="C4" s="233"/>
      <c r="D4" s="233"/>
      <c r="E4" s="233"/>
    </row>
    <row r="5" spans="1:5" ht="12.75">
      <c r="A5" s="522" t="s">
        <v>146</v>
      </c>
      <c r="B5" s="493" t="s">
        <v>167</v>
      </c>
      <c r="C5" s="493" t="s">
        <v>168</v>
      </c>
      <c r="D5" s="510" t="s">
        <v>169</v>
      </c>
      <c r="E5" s="520" t="s">
        <v>149</v>
      </c>
    </row>
    <row r="6" spans="1:5" ht="12.75">
      <c r="A6" s="492"/>
      <c r="B6" s="489"/>
      <c r="C6" s="489"/>
      <c r="D6" s="511"/>
      <c r="E6" s="521"/>
    </row>
    <row r="7" spans="1:5" ht="15.75">
      <c r="A7" s="234">
        <v>1</v>
      </c>
      <c r="B7" s="235">
        <v>2</v>
      </c>
      <c r="C7" s="235">
        <v>3</v>
      </c>
      <c r="D7" s="236">
        <v>4</v>
      </c>
      <c r="E7" s="237">
        <v>5</v>
      </c>
    </row>
    <row r="8" spans="1:5" ht="16.5">
      <c r="A8" s="238">
        <v>1</v>
      </c>
      <c r="B8" s="239" t="s">
        <v>170</v>
      </c>
      <c r="C8" s="240" t="s">
        <v>171</v>
      </c>
      <c r="D8" s="241">
        <v>96</v>
      </c>
      <c r="E8" s="242"/>
    </row>
    <row r="9" spans="1:5" ht="15.75">
      <c r="A9" s="218"/>
      <c r="B9" s="243"/>
      <c r="C9" s="244"/>
      <c r="D9" s="245"/>
      <c r="E9" s="246"/>
    </row>
    <row r="10" spans="1:5" ht="15.75">
      <c r="A10" s="218"/>
      <c r="B10" s="243"/>
      <c r="C10" s="244"/>
      <c r="D10" s="245"/>
      <c r="E10" s="246"/>
    </row>
  </sheetData>
  <mergeCells count="8">
    <mergeCell ref="A1:E1"/>
    <mergeCell ref="A2:E2"/>
    <mergeCell ref="A3:E3"/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2"/>
    </sheetView>
  </sheetViews>
  <sheetFormatPr defaultColWidth="9.33203125" defaultRowHeight="12.75"/>
  <cols>
    <col min="2" max="2" width="60.66015625" style="0" customWidth="1"/>
    <col min="3" max="3" width="15.83203125" style="0" customWidth="1"/>
    <col min="4" max="4" width="13.16015625" style="0" customWidth="1"/>
    <col min="5" max="5" width="18.5" style="0" customWidth="1"/>
  </cols>
  <sheetData>
    <row r="1" spans="1:5" ht="14.25" customHeight="1">
      <c r="A1" s="491" t="s">
        <v>172</v>
      </c>
      <c r="B1" s="491"/>
      <c r="C1" s="491"/>
      <c r="D1" s="491"/>
      <c r="E1" s="491"/>
    </row>
    <row r="2" spans="1:5" ht="23.25" customHeight="1">
      <c r="A2" s="491"/>
      <c r="B2" s="491"/>
      <c r="C2" s="491"/>
      <c r="D2" s="491"/>
      <c r="E2" s="491"/>
    </row>
    <row r="3" spans="1:5" ht="33" customHeight="1">
      <c r="A3" s="490" t="s">
        <v>107</v>
      </c>
      <c r="B3" s="490"/>
      <c r="C3" s="490"/>
      <c r="D3" s="490"/>
      <c r="E3" s="490"/>
    </row>
    <row r="4" spans="1:5" ht="16.5" customHeight="1">
      <c r="A4" s="491"/>
      <c r="B4" s="491"/>
      <c r="C4" s="491"/>
      <c r="D4" s="491"/>
      <c r="E4" s="491"/>
    </row>
    <row r="5" spans="1:5" ht="16.5" customHeight="1" thickBot="1">
      <c r="A5" s="233"/>
      <c r="B5" s="233"/>
      <c r="C5" s="233"/>
      <c r="D5" s="233"/>
      <c r="E5" s="233"/>
    </row>
    <row r="6" spans="1:5" ht="12.75" customHeight="1">
      <c r="A6" s="522" t="s">
        <v>146</v>
      </c>
      <c r="B6" s="493" t="s">
        <v>167</v>
      </c>
      <c r="C6" s="493" t="s">
        <v>168</v>
      </c>
      <c r="D6" s="510" t="s">
        <v>169</v>
      </c>
      <c r="E6" s="520" t="s">
        <v>149</v>
      </c>
    </row>
    <row r="7" spans="1:5" ht="12.75" customHeight="1">
      <c r="A7" s="492"/>
      <c r="B7" s="489"/>
      <c r="C7" s="489"/>
      <c r="D7" s="511"/>
      <c r="E7" s="521"/>
    </row>
    <row r="8" spans="1:5" ht="12.75" customHeight="1">
      <c r="A8" s="234">
        <v>1</v>
      </c>
      <c r="B8" s="235">
        <v>2</v>
      </c>
      <c r="C8" s="235">
        <v>3</v>
      </c>
      <c r="D8" s="236">
        <v>4</v>
      </c>
      <c r="E8" s="237">
        <v>5</v>
      </c>
    </row>
    <row r="9" spans="1:5" ht="51" customHeight="1">
      <c r="A9" s="238">
        <v>1</v>
      </c>
      <c r="B9" s="239" t="s">
        <v>173</v>
      </c>
      <c r="C9" s="240" t="s">
        <v>171</v>
      </c>
      <c r="D9" s="241">
        <v>87</v>
      </c>
      <c r="E9" s="242"/>
    </row>
    <row r="10" spans="1:5" ht="42.75" customHeight="1">
      <c r="A10" s="247">
        <v>2</v>
      </c>
      <c r="B10" s="248" t="s">
        <v>174</v>
      </c>
      <c r="C10" s="249"/>
      <c r="D10" s="250"/>
      <c r="E10" s="251"/>
    </row>
    <row r="11" spans="1:5" ht="44.25" customHeight="1">
      <c r="A11" s="247" t="s">
        <v>175</v>
      </c>
      <c r="B11" s="248" t="s">
        <v>176</v>
      </c>
      <c r="C11" s="249" t="s">
        <v>171</v>
      </c>
      <c r="D11" s="252">
        <v>62.02</v>
      </c>
      <c r="E11" s="251"/>
    </row>
    <row r="12" spans="1:5" ht="37.5" customHeight="1">
      <c r="A12" s="247" t="s">
        <v>175</v>
      </c>
      <c r="B12" s="248" t="s">
        <v>177</v>
      </c>
      <c r="C12" s="249" t="s">
        <v>171</v>
      </c>
      <c r="D12" s="252">
        <v>22.42</v>
      </c>
      <c r="E12" s="251"/>
    </row>
    <row r="13" spans="1:5" ht="16.5" thickBot="1">
      <c r="A13" s="253"/>
      <c r="B13" s="254"/>
      <c r="C13" s="254"/>
      <c r="D13" s="254"/>
      <c r="E13" s="255"/>
    </row>
  </sheetData>
  <mergeCells count="8">
    <mergeCell ref="A3:E3"/>
    <mergeCell ref="A4:E4"/>
    <mergeCell ref="A1:E2"/>
    <mergeCell ref="E6:E7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:P1"/>
    </sheetView>
  </sheetViews>
  <sheetFormatPr defaultColWidth="9.33203125" defaultRowHeight="12.75"/>
  <cols>
    <col min="1" max="1" width="9.33203125" style="346" customWidth="1"/>
    <col min="2" max="2" width="27.66015625" style="346" customWidth="1"/>
    <col min="3" max="3" width="9.33203125" style="346" customWidth="1"/>
    <col min="4" max="4" width="11.33203125" style="346" customWidth="1"/>
    <col min="5" max="16384" width="9.33203125" style="346" customWidth="1"/>
  </cols>
  <sheetData>
    <row r="1" spans="1:16" ht="18.75">
      <c r="A1" s="516" t="s">
        <v>178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</row>
    <row r="2" spans="1:16" ht="18.75">
      <c r="A2" s="517" t="s">
        <v>107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</row>
    <row r="3" spans="1:16" ht="16.5">
      <c r="A3" s="518"/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</row>
    <row r="4" spans="1:16" ht="16.5" thickBo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</row>
    <row r="5" spans="1:16" ht="15.75">
      <c r="A5" s="523" t="s">
        <v>0</v>
      </c>
      <c r="B5" s="525" t="s">
        <v>109</v>
      </c>
      <c r="C5" s="525" t="s">
        <v>2</v>
      </c>
      <c r="D5" s="527" t="s">
        <v>179</v>
      </c>
      <c r="E5" s="529" t="s">
        <v>180</v>
      </c>
      <c r="F5" s="530"/>
      <c r="G5" s="530"/>
      <c r="H5" s="530"/>
      <c r="I5" s="530"/>
      <c r="J5" s="530"/>
      <c r="K5" s="530"/>
      <c r="L5" s="530"/>
      <c r="M5" s="530"/>
      <c r="N5" s="530"/>
      <c r="O5" s="531"/>
      <c r="P5" s="532" t="s">
        <v>149</v>
      </c>
    </row>
    <row r="6" spans="1:16" ht="47.25">
      <c r="A6" s="524"/>
      <c r="B6" s="526"/>
      <c r="C6" s="526"/>
      <c r="D6" s="528"/>
      <c r="E6" s="256" t="s">
        <v>181</v>
      </c>
      <c r="F6" s="256" t="s">
        <v>116</v>
      </c>
      <c r="G6" s="256" t="s">
        <v>182</v>
      </c>
      <c r="H6" s="256" t="s">
        <v>121</v>
      </c>
      <c r="I6" s="256" t="s">
        <v>118</v>
      </c>
      <c r="J6" s="256" t="s">
        <v>183</v>
      </c>
      <c r="K6" s="256" t="s">
        <v>119</v>
      </c>
      <c r="L6" s="256" t="s">
        <v>120</v>
      </c>
      <c r="M6" s="256" t="s">
        <v>122</v>
      </c>
      <c r="N6" s="256" t="s">
        <v>117</v>
      </c>
      <c r="O6" s="319" t="s">
        <v>184</v>
      </c>
      <c r="P6" s="533"/>
    </row>
    <row r="7" spans="1:16" ht="15">
      <c r="A7" s="321">
        <v>1</v>
      </c>
      <c r="B7" s="322">
        <v>2</v>
      </c>
      <c r="C7" s="322">
        <v>3</v>
      </c>
      <c r="D7" s="322">
        <v>4</v>
      </c>
      <c r="E7" s="322">
        <v>5</v>
      </c>
      <c r="F7" s="322">
        <v>6</v>
      </c>
      <c r="G7" s="322">
        <v>7</v>
      </c>
      <c r="H7" s="322">
        <v>8</v>
      </c>
      <c r="I7" s="322">
        <v>9</v>
      </c>
      <c r="J7" s="322">
        <v>10</v>
      </c>
      <c r="K7" s="322">
        <v>11</v>
      </c>
      <c r="L7" s="322">
        <v>12</v>
      </c>
      <c r="M7" s="322">
        <v>13</v>
      </c>
      <c r="N7" s="322">
        <v>14</v>
      </c>
      <c r="O7" s="322">
        <v>15</v>
      </c>
      <c r="P7" s="323">
        <v>16</v>
      </c>
    </row>
    <row r="8" spans="1:16" ht="45">
      <c r="A8" s="324">
        <v>1</v>
      </c>
      <c r="B8" s="325" t="s">
        <v>185</v>
      </c>
      <c r="C8" s="326" t="s">
        <v>186</v>
      </c>
      <c r="D8" s="327">
        <v>30200</v>
      </c>
      <c r="E8" s="257">
        <v>2300</v>
      </c>
      <c r="F8" s="257">
        <v>3000</v>
      </c>
      <c r="G8" s="257">
        <v>2300</v>
      </c>
      <c r="H8" s="257">
        <v>2950</v>
      </c>
      <c r="I8" s="257">
        <v>3900</v>
      </c>
      <c r="J8" s="257">
        <v>2400</v>
      </c>
      <c r="K8" s="257">
        <v>1950</v>
      </c>
      <c r="L8" s="257">
        <v>3950</v>
      </c>
      <c r="M8" s="257">
        <v>3300</v>
      </c>
      <c r="N8" s="257">
        <v>3850</v>
      </c>
      <c r="O8" s="257">
        <v>300</v>
      </c>
      <c r="P8" s="258"/>
    </row>
    <row r="9" spans="1:16" ht="15.75">
      <c r="A9" s="328"/>
      <c r="B9" s="329" t="s">
        <v>187</v>
      </c>
      <c r="C9" s="244"/>
      <c r="D9" s="264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7"/>
    </row>
    <row r="10" spans="1:16" ht="15.75">
      <c r="A10" s="330"/>
      <c r="B10" s="329" t="s">
        <v>188</v>
      </c>
      <c r="C10" s="244" t="s">
        <v>186</v>
      </c>
      <c r="D10" s="331">
        <v>15645</v>
      </c>
      <c r="E10" s="259">
        <v>1225</v>
      </c>
      <c r="F10" s="259">
        <v>1475</v>
      </c>
      <c r="G10" s="259">
        <v>1225</v>
      </c>
      <c r="H10" s="259">
        <v>1400</v>
      </c>
      <c r="I10" s="259">
        <v>2000</v>
      </c>
      <c r="J10" s="259">
        <v>1150</v>
      </c>
      <c r="K10" s="259">
        <v>1150</v>
      </c>
      <c r="L10" s="259">
        <v>2050</v>
      </c>
      <c r="M10" s="259">
        <v>1850</v>
      </c>
      <c r="N10" s="259">
        <v>2000</v>
      </c>
      <c r="O10" s="259">
        <v>120</v>
      </c>
      <c r="P10" s="260"/>
    </row>
    <row r="11" spans="1:16" ht="60">
      <c r="A11" s="330"/>
      <c r="B11" s="329" t="s">
        <v>189</v>
      </c>
      <c r="C11" s="244" t="s">
        <v>186</v>
      </c>
      <c r="D11" s="331">
        <v>1900</v>
      </c>
      <c r="E11" s="331">
        <v>175</v>
      </c>
      <c r="F11" s="331">
        <v>170</v>
      </c>
      <c r="G11" s="331">
        <v>165</v>
      </c>
      <c r="H11" s="331">
        <v>185</v>
      </c>
      <c r="I11" s="331">
        <v>200</v>
      </c>
      <c r="J11" s="331">
        <v>195</v>
      </c>
      <c r="K11" s="331">
        <v>170</v>
      </c>
      <c r="L11" s="331">
        <v>195</v>
      </c>
      <c r="M11" s="331">
        <v>195</v>
      </c>
      <c r="N11" s="331">
        <v>250</v>
      </c>
      <c r="O11" s="331"/>
      <c r="P11" s="332"/>
    </row>
    <row r="12" spans="1:16" ht="30">
      <c r="A12" s="328">
        <v>2</v>
      </c>
      <c r="B12" s="333" t="s">
        <v>190</v>
      </c>
      <c r="C12" s="244" t="s">
        <v>186</v>
      </c>
      <c r="D12" s="331">
        <v>200</v>
      </c>
      <c r="E12" s="259"/>
      <c r="F12" s="259"/>
      <c r="G12" s="259"/>
      <c r="H12" s="259"/>
      <c r="I12" s="259"/>
      <c r="J12" s="259"/>
      <c r="K12" s="261"/>
      <c r="L12" s="261"/>
      <c r="M12" s="261"/>
      <c r="N12" s="261"/>
      <c r="O12" s="261"/>
      <c r="P12" s="262"/>
    </row>
    <row r="13" spans="1:16" ht="45">
      <c r="A13" s="328">
        <v>3</v>
      </c>
      <c r="B13" s="333" t="s">
        <v>191</v>
      </c>
      <c r="C13" s="244" t="s">
        <v>186</v>
      </c>
      <c r="D13" s="264">
        <v>630000</v>
      </c>
      <c r="E13" s="263"/>
      <c r="F13" s="263"/>
      <c r="G13" s="263"/>
      <c r="H13" s="263"/>
      <c r="I13" s="263"/>
      <c r="J13" s="263"/>
      <c r="K13" s="264"/>
      <c r="L13" s="264"/>
      <c r="M13" s="264"/>
      <c r="N13" s="264"/>
      <c r="O13" s="264"/>
      <c r="P13" s="265"/>
    </row>
    <row r="14" spans="1:16" ht="30">
      <c r="A14" s="328">
        <v>4</v>
      </c>
      <c r="B14" s="333" t="s">
        <v>192</v>
      </c>
      <c r="C14" s="244" t="s">
        <v>186</v>
      </c>
      <c r="D14" s="264">
        <v>6000</v>
      </c>
      <c r="E14" s="263">
        <v>800</v>
      </c>
      <c r="F14" s="263">
        <v>800</v>
      </c>
      <c r="G14" s="263">
        <v>400</v>
      </c>
      <c r="H14" s="263">
        <v>600</v>
      </c>
      <c r="I14" s="263">
        <v>500</v>
      </c>
      <c r="J14" s="263">
        <v>400</v>
      </c>
      <c r="K14" s="266">
        <v>450</v>
      </c>
      <c r="L14" s="266">
        <v>700</v>
      </c>
      <c r="M14" s="266">
        <v>650</v>
      </c>
      <c r="N14" s="266">
        <v>700</v>
      </c>
      <c r="O14" s="263"/>
      <c r="P14" s="267"/>
    </row>
    <row r="15" spans="1:16" ht="45">
      <c r="A15" s="328">
        <v>5</v>
      </c>
      <c r="B15" s="333" t="s">
        <v>193</v>
      </c>
      <c r="C15" s="278" t="s">
        <v>171</v>
      </c>
      <c r="D15" s="334">
        <v>35</v>
      </c>
      <c r="E15" s="263"/>
      <c r="F15" s="263"/>
      <c r="G15" s="263"/>
      <c r="H15" s="263"/>
      <c r="I15" s="263"/>
      <c r="J15" s="263"/>
      <c r="K15" s="266"/>
      <c r="L15" s="266"/>
      <c r="M15" s="266"/>
      <c r="N15" s="266"/>
      <c r="O15" s="266"/>
      <c r="P15" s="335"/>
    </row>
    <row r="16" spans="1:16" ht="30">
      <c r="A16" s="328">
        <v>6</v>
      </c>
      <c r="B16" s="333" t="s">
        <v>194</v>
      </c>
      <c r="C16" s="278" t="s">
        <v>195</v>
      </c>
      <c r="D16" s="264">
        <v>600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335"/>
    </row>
    <row r="17" spans="1:16" ht="45">
      <c r="A17" s="328">
        <v>7</v>
      </c>
      <c r="B17" s="333" t="s">
        <v>196</v>
      </c>
      <c r="C17" s="278" t="s">
        <v>171</v>
      </c>
      <c r="D17" s="336" t="s">
        <v>197</v>
      </c>
      <c r="E17" s="336" t="s">
        <v>197</v>
      </c>
      <c r="F17" s="336" t="s">
        <v>197</v>
      </c>
      <c r="G17" s="336" t="s">
        <v>197</v>
      </c>
      <c r="H17" s="336" t="s">
        <v>197</v>
      </c>
      <c r="I17" s="336" t="s">
        <v>197</v>
      </c>
      <c r="J17" s="336" t="s">
        <v>197</v>
      </c>
      <c r="K17" s="336" t="s">
        <v>197</v>
      </c>
      <c r="L17" s="336" t="s">
        <v>197</v>
      </c>
      <c r="M17" s="336" t="s">
        <v>197</v>
      </c>
      <c r="N17" s="336" t="s">
        <v>197</v>
      </c>
      <c r="O17" s="336" t="s">
        <v>197</v>
      </c>
      <c r="P17" s="337"/>
    </row>
    <row r="18" spans="1:16" ht="60">
      <c r="A18" s="328">
        <v>8</v>
      </c>
      <c r="B18" s="333" t="s">
        <v>198</v>
      </c>
      <c r="C18" s="278" t="s">
        <v>171</v>
      </c>
      <c r="D18" s="338" t="s">
        <v>199</v>
      </c>
      <c r="E18" s="338" t="s">
        <v>199</v>
      </c>
      <c r="F18" s="338" t="s">
        <v>199</v>
      </c>
      <c r="G18" s="338" t="s">
        <v>199</v>
      </c>
      <c r="H18" s="338" t="s">
        <v>199</v>
      </c>
      <c r="I18" s="338" t="s">
        <v>199</v>
      </c>
      <c r="J18" s="338" t="s">
        <v>199</v>
      </c>
      <c r="K18" s="338" t="s">
        <v>199</v>
      </c>
      <c r="L18" s="338" t="s">
        <v>199</v>
      </c>
      <c r="M18" s="338" t="s">
        <v>199</v>
      </c>
      <c r="N18" s="338" t="s">
        <v>199</v>
      </c>
      <c r="O18" s="338" t="s">
        <v>199</v>
      </c>
      <c r="P18" s="339"/>
    </row>
    <row r="19" spans="1:16" ht="15.75" thickBot="1">
      <c r="A19" s="340"/>
      <c r="B19" s="341"/>
      <c r="C19" s="342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4"/>
      <c r="P19" s="345"/>
    </row>
  </sheetData>
  <mergeCells count="9">
    <mergeCell ref="A1:P1"/>
    <mergeCell ref="A2:P2"/>
    <mergeCell ref="A3:P3"/>
    <mergeCell ref="A5:A6"/>
    <mergeCell ref="B5:B6"/>
    <mergeCell ref="C5:C6"/>
    <mergeCell ref="D5:D6"/>
    <mergeCell ref="E5:O5"/>
    <mergeCell ref="P5:P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:N1"/>
    </sheetView>
  </sheetViews>
  <sheetFormatPr defaultColWidth="9.33203125" defaultRowHeight="12.75"/>
  <cols>
    <col min="2" max="2" width="22.33203125" style="0" customWidth="1"/>
    <col min="3" max="3" width="11.33203125" style="0" customWidth="1"/>
    <col min="4" max="4" width="12.33203125" style="0" customWidth="1"/>
    <col min="5" max="5" width="11.5" style="0" customWidth="1"/>
    <col min="6" max="6" width="10.83203125" style="0" customWidth="1"/>
    <col min="7" max="7" width="10.5" style="0" customWidth="1"/>
    <col min="8" max="8" width="10.16015625" style="0" customWidth="1"/>
    <col min="9" max="9" width="11.66015625" style="0" customWidth="1"/>
    <col min="10" max="10" width="10.66015625" style="0" customWidth="1"/>
    <col min="11" max="11" width="11.16015625" style="0" customWidth="1"/>
    <col min="12" max="12" width="10.83203125" style="0" customWidth="1"/>
    <col min="13" max="13" width="10.33203125" style="0" customWidth="1"/>
    <col min="14" max="14" width="10.83203125" style="0" customWidth="1"/>
  </cols>
  <sheetData>
    <row r="1" spans="1:14" ht="18.75">
      <c r="A1" s="506" t="s">
        <v>291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</row>
    <row r="2" spans="1:14" ht="18.75">
      <c r="A2" s="507" t="s">
        <v>107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</row>
    <row r="3" spans="1:14" ht="16.5">
      <c r="A3" s="534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</row>
    <row r="4" spans="1:14" ht="16.5" thickBo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14" ht="14.25">
      <c r="A5" s="523" t="s">
        <v>0</v>
      </c>
      <c r="B5" s="525" t="s">
        <v>1</v>
      </c>
      <c r="C5" s="525" t="s">
        <v>2</v>
      </c>
      <c r="D5" s="525" t="s">
        <v>179</v>
      </c>
      <c r="E5" s="535" t="s">
        <v>180</v>
      </c>
      <c r="F5" s="536"/>
      <c r="G5" s="536"/>
      <c r="H5" s="536"/>
      <c r="I5" s="536"/>
      <c r="J5" s="536"/>
      <c r="K5" s="536"/>
      <c r="L5" s="536"/>
      <c r="M5" s="536"/>
      <c r="N5" s="537"/>
    </row>
    <row r="6" spans="1:14" ht="28.5">
      <c r="A6" s="524"/>
      <c r="B6" s="526"/>
      <c r="C6" s="526"/>
      <c r="D6" s="526"/>
      <c r="E6" s="256" t="s">
        <v>181</v>
      </c>
      <c r="F6" s="256" t="s">
        <v>116</v>
      </c>
      <c r="G6" s="256" t="s">
        <v>292</v>
      </c>
      <c r="H6" s="256" t="s">
        <v>122</v>
      </c>
      <c r="I6" s="256" t="s">
        <v>121</v>
      </c>
      <c r="J6" s="256" t="s">
        <v>183</v>
      </c>
      <c r="K6" s="256" t="s">
        <v>117</v>
      </c>
      <c r="L6" s="256" t="s">
        <v>118</v>
      </c>
      <c r="M6" s="256" t="s">
        <v>119</v>
      </c>
      <c r="N6" s="320" t="s">
        <v>120</v>
      </c>
    </row>
    <row r="7" spans="1:14" ht="15">
      <c r="A7" s="321">
        <v>1</v>
      </c>
      <c r="B7" s="322">
        <v>2</v>
      </c>
      <c r="C7" s="322">
        <v>3</v>
      </c>
      <c r="D7" s="322">
        <v>4</v>
      </c>
      <c r="E7" s="322">
        <v>5</v>
      </c>
      <c r="F7" s="322">
        <v>6</v>
      </c>
      <c r="G7" s="322">
        <v>7</v>
      </c>
      <c r="H7" s="322">
        <v>8</v>
      </c>
      <c r="I7" s="322">
        <v>9</v>
      </c>
      <c r="J7" s="322">
        <v>10</v>
      </c>
      <c r="K7" s="322">
        <v>11</v>
      </c>
      <c r="L7" s="322">
        <v>12</v>
      </c>
      <c r="M7" s="322">
        <v>13</v>
      </c>
      <c r="N7" s="323">
        <v>14</v>
      </c>
    </row>
    <row r="8" spans="1:14" ht="15.75">
      <c r="A8" s="347">
        <v>1</v>
      </c>
      <c r="B8" s="348" t="s">
        <v>293</v>
      </c>
      <c r="C8" s="326" t="s">
        <v>186</v>
      </c>
      <c r="D8" s="349">
        <v>930540</v>
      </c>
      <c r="E8" s="350">
        <v>87112</v>
      </c>
      <c r="F8" s="349">
        <v>87180</v>
      </c>
      <c r="G8" s="349">
        <v>57360</v>
      </c>
      <c r="H8" s="349">
        <v>96602</v>
      </c>
      <c r="I8" s="349">
        <v>73530</v>
      </c>
      <c r="J8" s="349">
        <v>53758</v>
      </c>
      <c r="K8" s="349">
        <v>159898</v>
      </c>
      <c r="L8" s="349">
        <v>118535</v>
      </c>
      <c r="M8" s="349">
        <v>56015</v>
      </c>
      <c r="N8" s="351">
        <v>140550</v>
      </c>
    </row>
    <row r="9" spans="1:14" ht="15.75">
      <c r="A9" s="218">
        <v>2</v>
      </c>
      <c r="B9" s="243" t="s">
        <v>294</v>
      </c>
      <c r="C9" s="244" t="s">
        <v>186</v>
      </c>
      <c r="D9" s="245">
        <f>SUM(E9:N9)</f>
        <v>14563</v>
      </c>
      <c r="E9" s="352">
        <v>1273</v>
      </c>
      <c r="F9" s="352">
        <v>1295</v>
      </c>
      <c r="G9" s="352">
        <v>920</v>
      </c>
      <c r="H9" s="245">
        <v>1553</v>
      </c>
      <c r="I9" s="352">
        <v>1190</v>
      </c>
      <c r="J9" s="352">
        <v>860</v>
      </c>
      <c r="K9" s="245">
        <v>2576</v>
      </c>
      <c r="L9" s="352">
        <v>1890</v>
      </c>
      <c r="M9" s="352">
        <v>920</v>
      </c>
      <c r="N9" s="353">
        <v>2086</v>
      </c>
    </row>
    <row r="10" spans="1:14" ht="15.75">
      <c r="A10" s="218">
        <v>3</v>
      </c>
      <c r="B10" s="243" t="s">
        <v>295</v>
      </c>
      <c r="C10" s="244" t="s">
        <v>186</v>
      </c>
      <c r="D10" s="245">
        <f>SUM(E10:N10)</f>
        <v>3711</v>
      </c>
      <c r="E10" s="352">
        <v>350</v>
      </c>
      <c r="F10" s="352">
        <v>380</v>
      </c>
      <c r="G10" s="352">
        <v>370</v>
      </c>
      <c r="H10" s="245">
        <v>396</v>
      </c>
      <c r="I10" s="352">
        <v>337</v>
      </c>
      <c r="J10" s="352">
        <v>336</v>
      </c>
      <c r="K10" s="245">
        <v>380</v>
      </c>
      <c r="L10" s="352">
        <v>322</v>
      </c>
      <c r="M10" s="352">
        <v>370</v>
      </c>
      <c r="N10" s="353">
        <v>470</v>
      </c>
    </row>
    <row r="11" spans="1:14" ht="15.75">
      <c r="A11" s="218">
        <v>4</v>
      </c>
      <c r="B11" s="243" t="s">
        <v>296</v>
      </c>
      <c r="C11" s="244" t="s">
        <v>186</v>
      </c>
      <c r="D11" s="245">
        <f>SUM(E11:N11)</f>
        <v>2978</v>
      </c>
      <c r="E11" s="352">
        <v>260</v>
      </c>
      <c r="F11" s="352">
        <v>331</v>
      </c>
      <c r="G11" s="352">
        <v>312</v>
      </c>
      <c r="H11" s="245">
        <v>230</v>
      </c>
      <c r="I11" s="352">
        <v>310</v>
      </c>
      <c r="J11" s="352">
        <v>342</v>
      </c>
      <c r="K11" s="245">
        <v>358</v>
      </c>
      <c r="L11" s="352">
        <v>235</v>
      </c>
      <c r="M11" s="352">
        <v>254</v>
      </c>
      <c r="N11" s="353">
        <v>346</v>
      </c>
    </row>
    <row r="12" spans="1:14" ht="15.75">
      <c r="A12" s="218">
        <v>5</v>
      </c>
      <c r="B12" s="243" t="s">
        <v>297</v>
      </c>
      <c r="C12" s="244" t="s">
        <v>186</v>
      </c>
      <c r="D12" s="245">
        <f>D8+D9-D10+D11</f>
        <v>944370</v>
      </c>
      <c r="E12" s="352">
        <v>88295</v>
      </c>
      <c r="F12" s="352">
        <v>88245</v>
      </c>
      <c r="G12" s="352">
        <v>58222</v>
      </c>
      <c r="H12" s="352">
        <v>97990</v>
      </c>
      <c r="I12" s="352">
        <v>74693</v>
      </c>
      <c r="J12" s="352">
        <v>54624</v>
      </c>
      <c r="K12" s="352">
        <v>162452</v>
      </c>
      <c r="L12" s="352">
        <v>120338</v>
      </c>
      <c r="M12" s="352">
        <v>56818</v>
      </c>
      <c r="N12" s="353">
        <v>142511</v>
      </c>
    </row>
    <row r="13" spans="1:14" ht="15.75">
      <c r="A13" s="218">
        <v>6</v>
      </c>
      <c r="B13" s="243" t="s">
        <v>298</v>
      </c>
      <c r="C13" s="244" t="s">
        <v>186</v>
      </c>
      <c r="D13" s="245">
        <f>(D8+D12)/2</f>
        <v>937455</v>
      </c>
      <c r="E13" s="245">
        <v>87704</v>
      </c>
      <c r="F13" s="352">
        <v>87802</v>
      </c>
      <c r="G13" s="352">
        <v>57791</v>
      </c>
      <c r="H13" s="245">
        <v>97296</v>
      </c>
      <c r="I13" s="352">
        <v>74112</v>
      </c>
      <c r="J13" s="352">
        <v>54191</v>
      </c>
      <c r="K13" s="245">
        <v>161175</v>
      </c>
      <c r="L13" s="352">
        <v>119437</v>
      </c>
      <c r="M13" s="352">
        <v>56417</v>
      </c>
      <c r="N13" s="353">
        <v>141530</v>
      </c>
    </row>
    <row r="14" spans="1:14" ht="15.75">
      <c r="A14" s="218">
        <v>7</v>
      </c>
      <c r="B14" s="243" t="s">
        <v>299</v>
      </c>
      <c r="C14" s="244" t="s">
        <v>300</v>
      </c>
      <c r="D14" s="354">
        <f>D9/D13*1000</f>
        <v>15.534612328058413</v>
      </c>
      <c r="E14" s="354">
        <v>14.51</v>
      </c>
      <c r="F14" s="354">
        <v>14.75</v>
      </c>
      <c r="G14" s="354">
        <v>15.92</v>
      </c>
      <c r="H14" s="354">
        <v>15.96</v>
      </c>
      <c r="I14" s="354">
        <v>16.06</v>
      </c>
      <c r="J14" s="354">
        <v>15.87</v>
      </c>
      <c r="K14" s="354">
        <v>15.98</v>
      </c>
      <c r="L14" s="354">
        <f>L9/L13*1000</f>
        <v>15.824242069040581</v>
      </c>
      <c r="M14" s="354">
        <v>16.29</v>
      </c>
      <c r="N14" s="355">
        <v>14.74</v>
      </c>
    </row>
    <row r="15" spans="1:14" ht="15.75">
      <c r="A15" s="218">
        <v>8</v>
      </c>
      <c r="B15" s="243" t="s">
        <v>301</v>
      </c>
      <c r="C15" s="244" t="s">
        <v>300</v>
      </c>
      <c r="D15" s="354">
        <f>D10/D13*1000</f>
        <v>3.9585900123205913</v>
      </c>
      <c r="E15" s="286">
        <v>3.99</v>
      </c>
      <c r="F15" s="354">
        <v>4.33</v>
      </c>
      <c r="G15" s="354">
        <v>6.4</v>
      </c>
      <c r="H15" s="354">
        <v>4.07</v>
      </c>
      <c r="I15" s="354">
        <v>4.55</v>
      </c>
      <c r="J15" s="354">
        <v>6.2</v>
      </c>
      <c r="K15" s="354">
        <f>K10/K13*1000</f>
        <v>2.3576857453078954</v>
      </c>
      <c r="L15" s="354">
        <f>L10/L13*1000</f>
        <v>2.69598198213284</v>
      </c>
      <c r="M15" s="354">
        <v>6.56</v>
      </c>
      <c r="N15" s="355">
        <v>3.32</v>
      </c>
    </row>
    <row r="16" spans="1:14" ht="15.75">
      <c r="A16" s="218">
        <v>9</v>
      </c>
      <c r="B16" s="243" t="s">
        <v>302</v>
      </c>
      <c r="C16" s="244" t="s">
        <v>171</v>
      </c>
      <c r="D16" s="354">
        <v>1.16</v>
      </c>
      <c r="E16" s="286">
        <v>1.05</v>
      </c>
      <c r="F16" s="286">
        <v>1.04</v>
      </c>
      <c r="G16" s="286">
        <v>0.95</v>
      </c>
      <c r="H16" s="354">
        <v>1.19</v>
      </c>
      <c r="I16" s="286">
        <v>1.15</v>
      </c>
      <c r="J16" s="286">
        <v>0.97</v>
      </c>
      <c r="K16" s="354">
        <v>1.36</v>
      </c>
      <c r="L16" s="286">
        <v>1.31</v>
      </c>
      <c r="M16" s="286">
        <v>0.97</v>
      </c>
      <c r="N16" s="356">
        <v>1.14</v>
      </c>
    </row>
    <row r="17" spans="1:14" ht="15.75">
      <c r="A17" s="218">
        <v>10</v>
      </c>
      <c r="B17" s="243" t="s">
        <v>303</v>
      </c>
      <c r="C17" s="244" t="s">
        <v>300</v>
      </c>
      <c r="D17" s="354">
        <f>SUM(E17:N17)/10</f>
        <v>0.7</v>
      </c>
      <c r="E17" s="286">
        <v>0.7</v>
      </c>
      <c r="F17" s="286">
        <v>0.6</v>
      </c>
      <c r="G17" s="286">
        <v>0.7</v>
      </c>
      <c r="H17" s="286">
        <v>0.7</v>
      </c>
      <c r="I17" s="286">
        <v>0.7</v>
      </c>
      <c r="J17" s="286">
        <v>0.7</v>
      </c>
      <c r="K17" s="286">
        <v>0.6</v>
      </c>
      <c r="L17" s="286">
        <v>0.7</v>
      </c>
      <c r="M17" s="286">
        <v>0.7</v>
      </c>
      <c r="N17" s="356">
        <v>0.9</v>
      </c>
    </row>
    <row r="18" spans="1:14" ht="31.5">
      <c r="A18" s="218">
        <v>11</v>
      </c>
      <c r="B18" s="243" t="s">
        <v>304</v>
      </c>
      <c r="C18" s="244" t="s">
        <v>171</v>
      </c>
      <c r="D18" s="354">
        <v>1.48</v>
      </c>
      <c r="E18" s="286">
        <v>1.35</v>
      </c>
      <c r="F18" s="286">
        <v>1.42</v>
      </c>
      <c r="G18" s="286">
        <v>1.49</v>
      </c>
      <c r="H18" s="354">
        <v>1.43</v>
      </c>
      <c r="I18" s="286">
        <v>1.57</v>
      </c>
      <c r="J18" s="286">
        <v>1.6</v>
      </c>
      <c r="K18" s="354">
        <v>1.58</v>
      </c>
      <c r="L18" s="286">
        <v>1.51</v>
      </c>
      <c r="M18" s="286">
        <v>1.42</v>
      </c>
      <c r="N18" s="356">
        <v>1.39</v>
      </c>
    </row>
    <row r="19" spans="1:14" ht="47.25">
      <c r="A19" s="218">
        <v>12</v>
      </c>
      <c r="B19" s="243" t="s">
        <v>305</v>
      </c>
      <c r="C19" s="244" t="s">
        <v>186</v>
      </c>
      <c r="D19" s="245">
        <v>49540</v>
      </c>
      <c r="E19" s="357"/>
      <c r="F19" s="245"/>
      <c r="G19" s="245"/>
      <c r="H19" s="245"/>
      <c r="I19" s="245"/>
      <c r="J19" s="245"/>
      <c r="K19" s="245"/>
      <c r="L19" s="245"/>
      <c r="M19" s="245"/>
      <c r="N19" s="358"/>
    </row>
    <row r="20" spans="1:14" ht="13.5" thickBot="1">
      <c r="A20" s="287"/>
      <c r="B20" s="288"/>
      <c r="C20" s="288"/>
      <c r="D20" s="288"/>
      <c r="E20" s="289"/>
      <c r="F20" s="288"/>
      <c r="G20" s="288"/>
      <c r="H20" s="288"/>
      <c r="I20" s="288"/>
      <c r="J20" s="288"/>
      <c r="K20" s="288"/>
      <c r="L20" s="288"/>
      <c r="M20" s="288"/>
      <c r="N20" s="290"/>
    </row>
  </sheetData>
  <mergeCells count="8">
    <mergeCell ref="A1:N1"/>
    <mergeCell ref="A2:N2"/>
    <mergeCell ref="A3:N3"/>
    <mergeCell ref="E5:N5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E1"/>
    </sheetView>
  </sheetViews>
  <sheetFormatPr defaultColWidth="9.33203125" defaultRowHeight="12.75"/>
  <cols>
    <col min="2" max="2" width="55.33203125" style="0" customWidth="1"/>
    <col min="3" max="3" width="17.16015625" style="0" customWidth="1"/>
    <col min="4" max="4" width="15.33203125" style="0" customWidth="1"/>
    <col min="5" max="5" width="16.83203125" style="0" customWidth="1"/>
  </cols>
  <sheetData>
    <row r="1" spans="1:5" ht="18.75">
      <c r="A1" s="506" t="s">
        <v>200</v>
      </c>
      <c r="B1" s="506"/>
      <c r="C1" s="506"/>
      <c r="D1" s="506"/>
      <c r="E1" s="506"/>
    </row>
    <row r="2" spans="1:5" ht="18.75">
      <c r="A2" s="538" t="s">
        <v>107</v>
      </c>
      <c r="B2" s="538"/>
      <c r="C2" s="538"/>
      <c r="D2" s="538"/>
      <c r="E2" s="538"/>
    </row>
    <row r="3" spans="1:5" ht="16.5">
      <c r="A3" s="539"/>
      <c r="B3" s="539"/>
      <c r="C3" s="539"/>
      <c r="D3" s="539"/>
      <c r="E3" s="539"/>
    </row>
    <row r="4" spans="1:5" ht="15.75" thickBot="1">
      <c r="A4" s="268"/>
      <c r="B4" s="268"/>
      <c r="C4" s="268"/>
      <c r="D4" s="268"/>
      <c r="E4" s="268"/>
    </row>
    <row r="5" spans="1:5" ht="28.5">
      <c r="A5" s="359" t="s">
        <v>146</v>
      </c>
      <c r="B5" s="360" t="s">
        <v>167</v>
      </c>
      <c r="C5" s="360" t="s">
        <v>168</v>
      </c>
      <c r="D5" s="361" t="s">
        <v>169</v>
      </c>
      <c r="E5" s="362" t="s">
        <v>149</v>
      </c>
    </row>
    <row r="6" spans="1:5" ht="15">
      <c r="A6" s="363">
        <v>1</v>
      </c>
      <c r="B6" s="364">
        <v>2</v>
      </c>
      <c r="C6" s="364">
        <v>3</v>
      </c>
      <c r="D6" s="365">
        <v>4</v>
      </c>
      <c r="E6" s="366">
        <v>5</v>
      </c>
    </row>
    <row r="7" spans="1:5" ht="15">
      <c r="A7" s="367" t="s">
        <v>24</v>
      </c>
      <c r="B7" s="275" t="s">
        <v>201</v>
      </c>
      <c r="C7" s="269"/>
      <c r="D7" s="269"/>
      <c r="E7" s="272"/>
    </row>
    <row r="8" spans="1:5" ht="15">
      <c r="A8" s="368">
        <v>1</v>
      </c>
      <c r="B8" s="269" t="s">
        <v>202</v>
      </c>
      <c r="C8" s="270" t="s">
        <v>186</v>
      </c>
      <c r="D8" s="271">
        <v>209413</v>
      </c>
      <c r="E8" s="272"/>
    </row>
    <row r="9" spans="1:5" ht="15">
      <c r="A9" s="368">
        <v>2</v>
      </c>
      <c r="B9" s="269" t="s">
        <v>203</v>
      </c>
      <c r="C9" s="270" t="s">
        <v>171</v>
      </c>
      <c r="D9" s="273">
        <v>23.2</v>
      </c>
      <c r="E9" s="272"/>
    </row>
    <row r="10" spans="1:5" ht="15">
      <c r="A10" s="368">
        <v>3</v>
      </c>
      <c r="B10" s="269" t="s">
        <v>204</v>
      </c>
      <c r="C10" s="270" t="s">
        <v>205</v>
      </c>
      <c r="D10" s="271">
        <v>29737</v>
      </c>
      <c r="E10" s="272"/>
    </row>
    <row r="11" spans="1:5" ht="15">
      <c r="A11" s="368">
        <v>4</v>
      </c>
      <c r="B11" s="269" t="s">
        <v>206</v>
      </c>
      <c r="C11" s="270" t="s">
        <v>171</v>
      </c>
      <c r="D11" s="273">
        <v>13</v>
      </c>
      <c r="E11" s="272"/>
    </row>
    <row r="12" spans="1:5" ht="15">
      <c r="A12" s="368">
        <v>5</v>
      </c>
      <c r="B12" s="274" t="s">
        <v>207</v>
      </c>
      <c r="C12" s="270" t="s">
        <v>171</v>
      </c>
      <c r="D12" s="271">
        <v>100</v>
      </c>
      <c r="E12" s="272"/>
    </row>
    <row r="13" spans="1:5" ht="15">
      <c r="A13" s="368">
        <v>6</v>
      </c>
      <c r="B13" s="269" t="s">
        <v>208</v>
      </c>
      <c r="C13" s="270" t="s">
        <v>209</v>
      </c>
      <c r="D13" s="271">
        <v>186</v>
      </c>
      <c r="E13" s="272"/>
    </row>
    <row r="14" spans="1:5" ht="15">
      <c r="A14" s="368">
        <v>7</v>
      </c>
      <c r="B14" s="269" t="s">
        <v>210</v>
      </c>
      <c r="C14" s="270" t="s">
        <v>171</v>
      </c>
      <c r="D14" s="271">
        <v>66</v>
      </c>
      <c r="E14" s="272"/>
    </row>
    <row r="15" spans="1:5" ht="15">
      <c r="A15" s="368">
        <v>8</v>
      </c>
      <c r="B15" s="269" t="s">
        <v>211</v>
      </c>
      <c r="C15" s="270" t="s">
        <v>212</v>
      </c>
      <c r="D15" s="271">
        <v>75</v>
      </c>
      <c r="E15" s="272"/>
    </row>
    <row r="16" spans="1:5" ht="15">
      <c r="A16" s="367" t="s">
        <v>42</v>
      </c>
      <c r="B16" s="275" t="s">
        <v>213</v>
      </c>
      <c r="C16" s="270"/>
      <c r="D16" s="271"/>
      <c r="E16" s="272"/>
    </row>
    <row r="17" spans="1:5" ht="15">
      <c r="A17" s="368">
        <v>1</v>
      </c>
      <c r="B17" s="269" t="s">
        <v>214</v>
      </c>
      <c r="C17" s="270" t="s">
        <v>215</v>
      </c>
      <c r="D17" s="271">
        <v>80</v>
      </c>
      <c r="E17" s="272"/>
    </row>
    <row r="18" spans="1:5" ht="15">
      <c r="A18" s="368">
        <v>2</v>
      </c>
      <c r="B18" s="269" t="s">
        <v>216</v>
      </c>
      <c r="C18" s="270" t="s">
        <v>215</v>
      </c>
      <c r="D18" s="271">
        <v>80</v>
      </c>
      <c r="E18" s="272"/>
    </row>
    <row r="19" spans="1:5" ht="15">
      <c r="A19" s="368">
        <v>3</v>
      </c>
      <c r="B19" s="269" t="s">
        <v>217</v>
      </c>
      <c r="C19" s="270" t="s">
        <v>215</v>
      </c>
      <c r="D19" s="271">
        <v>43</v>
      </c>
      <c r="E19" s="272"/>
    </row>
    <row r="20" spans="1:5" ht="15">
      <c r="A20" s="368">
        <v>4</v>
      </c>
      <c r="B20" s="269" t="s">
        <v>218</v>
      </c>
      <c r="C20" s="270" t="s">
        <v>219</v>
      </c>
      <c r="D20" s="271">
        <v>119</v>
      </c>
      <c r="E20" s="272"/>
    </row>
    <row r="21" spans="1:5" ht="15">
      <c r="A21" s="368"/>
      <c r="B21" s="269" t="s">
        <v>187</v>
      </c>
      <c r="C21" s="270"/>
      <c r="D21" s="271"/>
      <c r="E21" s="272"/>
    </row>
    <row r="22" spans="1:5" ht="15">
      <c r="A22" s="368"/>
      <c r="B22" s="276" t="s">
        <v>220</v>
      </c>
      <c r="C22" s="270" t="s">
        <v>219</v>
      </c>
      <c r="D22" s="271">
        <v>30</v>
      </c>
      <c r="E22" s="272"/>
    </row>
    <row r="23" spans="1:5" ht="15">
      <c r="A23" s="368"/>
      <c r="B23" s="276" t="s">
        <v>221</v>
      </c>
      <c r="C23" s="270" t="s">
        <v>219</v>
      </c>
      <c r="D23" s="271">
        <v>34</v>
      </c>
      <c r="E23" s="272"/>
    </row>
    <row r="24" spans="1:5" ht="15">
      <c r="A24" s="368"/>
      <c r="B24" s="276" t="s">
        <v>222</v>
      </c>
      <c r="C24" s="270" t="s">
        <v>219</v>
      </c>
      <c r="D24" s="271">
        <v>55</v>
      </c>
      <c r="E24" s="272"/>
    </row>
    <row r="25" spans="1:5" ht="15">
      <c r="A25" s="367" t="s">
        <v>46</v>
      </c>
      <c r="B25" s="275" t="s">
        <v>223</v>
      </c>
      <c r="C25" s="270"/>
      <c r="D25" s="271"/>
      <c r="E25" s="272"/>
    </row>
    <row r="26" spans="1:5" ht="15">
      <c r="A26" s="368">
        <v>1</v>
      </c>
      <c r="B26" s="269" t="s">
        <v>224</v>
      </c>
      <c r="C26" s="270" t="s">
        <v>225</v>
      </c>
      <c r="D26" s="271">
        <v>163290</v>
      </c>
      <c r="E26" s="272"/>
    </row>
    <row r="27" spans="1:5" ht="15">
      <c r="A27" s="368"/>
      <c r="B27" s="269" t="s">
        <v>187</v>
      </c>
      <c r="C27" s="270"/>
      <c r="D27" s="271"/>
      <c r="E27" s="272"/>
    </row>
    <row r="28" spans="1:5" ht="15">
      <c r="A28" s="368"/>
      <c r="B28" s="276" t="s">
        <v>226</v>
      </c>
      <c r="C28" s="270" t="s">
        <v>225</v>
      </c>
      <c r="D28" s="271">
        <v>154620</v>
      </c>
      <c r="E28" s="272"/>
    </row>
    <row r="29" spans="1:5" ht="15">
      <c r="A29" s="368"/>
      <c r="B29" s="276" t="s">
        <v>227</v>
      </c>
      <c r="C29" s="270" t="s">
        <v>225</v>
      </c>
      <c r="D29" s="271">
        <v>8670</v>
      </c>
      <c r="E29" s="272"/>
    </row>
    <row r="30" spans="1:5" ht="15">
      <c r="A30" s="368">
        <v>2</v>
      </c>
      <c r="B30" s="269" t="s">
        <v>228</v>
      </c>
      <c r="C30" s="270" t="s">
        <v>229</v>
      </c>
      <c r="D30" s="273">
        <v>159.8</v>
      </c>
      <c r="E30" s="272"/>
    </row>
    <row r="31" spans="1:5" ht="15">
      <c r="A31" s="367" t="s">
        <v>53</v>
      </c>
      <c r="B31" s="275" t="s">
        <v>230</v>
      </c>
      <c r="C31" s="270"/>
      <c r="D31" s="271"/>
      <c r="E31" s="272"/>
    </row>
    <row r="32" spans="1:5" ht="15">
      <c r="A32" s="368">
        <v>1</v>
      </c>
      <c r="B32" s="269" t="s">
        <v>231</v>
      </c>
      <c r="C32" s="270" t="s">
        <v>146</v>
      </c>
      <c r="D32" s="271">
        <v>0</v>
      </c>
      <c r="E32" s="272"/>
    </row>
    <row r="33" spans="1:5" ht="15">
      <c r="A33" s="368">
        <v>2</v>
      </c>
      <c r="B33" s="269" t="s">
        <v>232</v>
      </c>
      <c r="C33" s="270" t="s">
        <v>146</v>
      </c>
      <c r="D33" s="271">
        <v>0</v>
      </c>
      <c r="E33" s="272"/>
    </row>
    <row r="34" spans="1:5" ht="15">
      <c r="A34" s="368">
        <v>3</v>
      </c>
      <c r="B34" s="269" t="s">
        <v>233</v>
      </c>
      <c r="C34" s="270" t="s">
        <v>171</v>
      </c>
      <c r="D34" s="271">
        <v>63</v>
      </c>
      <c r="E34" s="272"/>
    </row>
    <row r="35" spans="1:5" ht="15">
      <c r="A35" s="368">
        <v>4</v>
      </c>
      <c r="B35" s="269" t="s">
        <v>234</v>
      </c>
      <c r="C35" s="270" t="s">
        <v>171</v>
      </c>
      <c r="D35" s="271">
        <v>63</v>
      </c>
      <c r="E35" s="272"/>
    </row>
    <row r="36" spans="1:5" ht="30">
      <c r="A36" s="328">
        <v>5</v>
      </c>
      <c r="B36" s="277" t="s">
        <v>235</v>
      </c>
      <c r="C36" s="278" t="s">
        <v>171</v>
      </c>
      <c r="D36" s="271">
        <v>100</v>
      </c>
      <c r="E36" s="279"/>
    </row>
    <row r="37" spans="1:5" ht="30">
      <c r="A37" s="328">
        <v>6</v>
      </c>
      <c r="B37" s="277" t="s">
        <v>236</v>
      </c>
      <c r="C37" s="278" t="s">
        <v>171</v>
      </c>
      <c r="D37" s="271">
        <v>100</v>
      </c>
      <c r="E37" s="279"/>
    </row>
    <row r="38" spans="1:5" ht="15">
      <c r="A38" s="367" t="s">
        <v>237</v>
      </c>
      <c r="B38" s="275" t="s">
        <v>238</v>
      </c>
      <c r="C38" s="270"/>
      <c r="D38" s="271"/>
      <c r="E38" s="272"/>
    </row>
    <row r="39" spans="1:5" ht="15">
      <c r="A39" s="368">
        <v>1</v>
      </c>
      <c r="B39" s="269" t="s">
        <v>239</v>
      </c>
      <c r="C39" s="270" t="s">
        <v>240</v>
      </c>
      <c r="D39" s="271">
        <v>10</v>
      </c>
      <c r="E39" s="272"/>
    </row>
    <row r="40" spans="1:5" ht="15">
      <c r="A40" s="368">
        <v>2</v>
      </c>
      <c r="B40" s="269" t="s">
        <v>241</v>
      </c>
      <c r="C40" s="270" t="s">
        <v>242</v>
      </c>
      <c r="D40" s="271">
        <v>93070</v>
      </c>
      <c r="E40" s="272"/>
    </row>
    <row r="41" spans="1:5" ht="15">
      <c r="A41" s="368">
        <v>3</v>
      </c>
      <c r="B41" s="269" t="s">
        <v>243</v>
      </c>
      <c r="C41" s="270" t="s">
        <v>244</v>
      </c>
      <c r="D41" s="271">
        <v>405300</v>
      </c>
      <c r="E41" s="272"/>
    </row>
    <row r="42" spans="1:5" ht="15">
      <c r="A42" s="367" t="s">
        <v>245</v>
      </c>
      <c r="B42" s="275" t="s">
        <v>246</v>
      </c>
      <c r="C42" s="270"/>
      <c r="D42" s="271"/>
      <c r="E42" s="272"/>
    </row>
    <row r="43" spans="1:5" ht="15">
      <c r="A43" s="368">
        <v>1</v>
      </c>
      <c r="B43" s="269" t="s">
        <v>247</v>
      </c>
      <c r="C43" s="270" t="s">
        <v>248</v>
      </c>
      <c r="D43" s="271">
        <v>11</v>
      </c>
      <c r="E43" s="272"/>
    </row>
    <row r="44" spans="1:5" ht="15">
      <c r="A44" s="368">
        <v>2</v>
      </c>
      <c r="B44" s="269" t="s">
        <v>249</v>
      </c>
      <c r="C44" s="270" t="s">
        <v>250</v>
      </c>
      <c r="D44" s="271">
        <v>18</v>
      </c>
      <c r="E44" s="272"/>
    </row>
    <row r="45" spans="1:5" ht="15">
      <c r="A45" s="368">
        <v>3</v>
      </c>
      <c r="B45" s="269" t="s">
        <v>251</v>
      </c>
      <c r="C45" s="270" t="s">
        <v>251</v>
      </c>
      <c r="D45" s="271">
        <v>12150</v>
      </c>
      <c r="E45" s="272"/>
    </row>
    <row r="46" spans="1:5" ht="15">
      <c r="A46" s="368">
        <v>4</v>
      </c>
      <c r="B46" s="269" t="s">
        <v>252</v>
      </c>
      <c r="C46" s="270" t="s">
        <v>250</v>
      </c>
      <c r="D46" s="271">
        <v>2</v>
      </c>
      <c r="E46" s="272"/>
    </row>
    <row r="47" spans="1:5" ht="15">
      <c r="A47" s="367" t="s">
        <v>253</v>
      </c>
      <c r="B47" s="275" t="s">
        <v>254</v>
      </c>
      <c r="C47" s="270"/>
      <c r="D47" s="271"/>
      <c r="E47" s="272"/>
    </row>
    <row r="48" spans="1:5" ht="15">
      <c r="A48" s="368">
        <v>1</v>
      </c>
      <c r="B48" s="269" t="s">
        <v>255</v>
      </c>
      <c r="C48" s="270"/>
      <c r="D48" s="271"/>
      <c r="E48" s="272"/>
    </row>
    <row r="49" spans="1:5" ht="15">
      <c r="A49" s="368"/>
      <c r="B49" s="276" t="s">
        <v>256</v>
      </c>
      <c r="C49" s="270" t="s">
        <v>257</v>
      </c>
      <c r="D49" s="271">
        <v>11</v>
      </c>
      <c r="E49" s="272"/>
    </row>
    <row r="50" spans="1:5" ht="15">
      <c r="A50" s="368"/>
      <c r="B50" s="276" t="s">
        <v>258</v>
      </c>
      <c r="C50" s="270" t="s">
        <v>259</v>
      </c>
      <c r="D50" s="271">
        <v>100</v>
      </c>
      <c r="E50" s="272"/>
    </row>
    <row r="51" spans="1:5" ht="15">
      <c r="A51" s="368">
        <v>2</v>
      </c>
      <c r="B51" s="269" t="s">
        <v>260</v>
      </c>
      <c r="C51" s="270"/>
      <c r="D51" s="271"/>
      <c r="E51" s="272"/>
    </row>
    <row r="52" spans="1:5" ht="15">
      <c r="A52" s="368"/>
      <c r="B52" s="276" t="s">
        <v>261</v>
      </c>
      <c r="C52" s="270" t="s">
        <v>248</v>
      </c>
      <c r="D52" s="271">
        <v>10</v>
      </c>
      <c r="E52" s="272"/>
    </row>
    <row r="53" spans="1:5" ht="15">
      <c r="A53" s="368"/>
      <c r="B53" s="276" t="s">
        <v>262</v>
      </c>
      <c r="C53" s="270" t="s">
        <v>212</v>
      </c>
      <c r="D53" s="271">
        <v>13</v>
      </c>
      <c r="E53" s="272"/>
    </row>
    <row r="54" spans="1:5" ht="15">
      <c r="A54" s="368">
        <v>3</v>
      </c>
      <c r="B54" s="269" t="s">
        <v>263</v>
      </c>
      <c r="C54" s="280" t="s">
        <v>264</v>
      </c>
      <c r="D54" s="271">
        <v>100</v>
      </c>
      <c r="E54" s="272"/>
    </row>
    <row r="55" spans="1:5" ht="15">
      <c r="A55" s="367" t="s">
        <v>265</v>
      </c>
      <c r="B55" s="275" t="s">
        <v>266</v>
      </c>
      <c r="C55" s="270"/>
      <c r="D55" s="271"/>
      <c r="E55" s="272"/>
    </row>
    <row r="56" spans="1:5" ht="15">
      <c r="A56" s="368"/>
      <c r="B56" s="269" t="s">
        <v>267</v>
      </c>
      <c r="C56" s="270" t="s">
        <v>268</v>
      </c>
      <c r="D56" s="271">
        <v>1</v>
      </c>
      <c r="E56" s="272"/>
    </row>
    <row r="57" spans="1:5" ht="15">
      <c r="A57" s="368"/>
      <c r="B57" s="269" t="s">
        <v>187</v>
      </c>
      <c r="C57" s="270"/>
      <c r="D57" s="271"/>
      <c r="E57" s="272"/>
    </row>
    <row r="58" spans="1:5" ht="15">
      <c r="A58" s="368"/>
      <c r="B58" s="276" t="s">
        <v>269</v>
      </c>
      <c r="C58" s="270" t="s">
        <v>270</v>
      </c>
      <c r="D58" s="271">
        <v>1</v>
      </c>
      <c r="E58" s="272"/>
    </row>
    <row r="59" spans="1:5" ht="15">
      <c r="A59" s="368"/>
      <c r="B59" s="276" t="s">
        <v>271</v>
      </c>
      <c r="C59" s="270" t="s">
        <v>270</v>
      </c>
      <c r="D59" s="271">
        <v>0</v>
      </c>
      <c r="E59" s="272"/>
    </row>
    <row r="60" spans="1:5" ht="15">
      <c r="A60" s="367" t="s">
        <v>272</v>
      </c>
      <c r="B60" s="275" t="s">
        <v>273</v>
      </c>
      <c r="C60" s="270"/>
      <c r="D60" s="271"/>
      <c r="E60" s="272"/>
    </row>
    <row r="61" spans="1:5" ht="15">
      <c r="A61" s="368">
        <v>1</v>
      </c>
      <c r="B61" s="269" t="s">
        <v>274</v>
      </c>
      <c r="C61" s="270" t="s">
        <v>275</v>
      </c>
      <c r="D61" s="271">
        <v>1</v>
      </c>
      <c r="E61" s="272"/>
    </row>
    <row r="62" spans="1:5" ht="15">
      <c r="A62" s="368">
        <v>2</v>
      </c>
      <c r="B62" s="269" t="s">
        <v>276</v>
      </c>
      <c r="C62" s="270" t="s">
        <v>257</v>
      </c>
      <c r="D62" s="271">
        <v>6</v>
      </c>
      <c r="E62" s="272"/>
    </row>
    <row r="63" spans="1:5" ht="15">
      <c r="A63" s="368">
        <v>3</v>
      </c>
      <c r="B63" s="269" t="s">
        <v>277</v>
      </c>
      <c r="C63" s="270" t="s">
        <v>259</v>
      </c>
      <c r="D63" s="271">
        <v>900</v>
      </c>
      <c r="E63" s="272"/>
    </row>
    <row r="64" spans="1:5" ht="15">
      <c r="A64" s="368">
        <v>4</v>
      </c>
      <c r="B64" s="269" t="s">
        <v>278</v>
      </c>
      <c r="C64" s="270" t="s">
        <v>279</v>
      </c>
      <c r="D64" s="273">
        <v>105.3</v>
      </c>
      <c r="E64" s="272"/>
    </row>
    <row r="65" spans="1:5" ht="43.5">
      <c r="A65" s="369" t="s">
        <v>280</v>
      </c>
      <c r="B65" s="281" t="s">
        <v>281</v>
      </c>
      <c r="C65" s="270"/>
      <c r="D65" s="271"/>
      <c r="E65" s="272"/>
    </row>
    <row r="66" spans="1:5" ht="15">
      <c r="A66" s="368">
        <v>1</v>
      </c>
      <c r="B66" s="269" t="s">
        <v>282</v>
      </c>
      <c r="C66" s="270" t="s">
        <v>171</v>
      </c>
      <c r="D66" s="271">
        <v>98</v>
      </c>
      <c r="E66" s="272"/>
    </row>
    <row r="67" spans="1:5" ht="15">
      <c r="A67" s="368">
        <v>2</v>
      </c>
      <c r="B67" s="269" t="s">
        <v>283</v>
      </c>
      <c r="C67" s="270" t="s">
        <v>171</v>
      </c>
      <c r="D67" s="273">
        <v>85</v>
      </c>
      <c r="E67" s="272"/>
    </row>
    <row r="68" spans="1:5" ht="15">
      <c r="A68" s="368">
        <v>3</v>
      </c>
      <c r="B68" s="269" t="s">
        <v>284</v>
      </c>
      <c r="C68" s="270" t="s">
        <v>171</v>
      </c>
      <c r="D68" s="273">
        <v>20.5</v>
      </c>
      <c r="E68" s="272"/>
    </row>
    <row r="69" spans="1:5" ht="15">
      <c r="A69" s="368">
        <v>4</v>
      </c>
      <c r="B69" s="269" t="s">
        <v>285</v>
      </c>
      <c r="C69" s="270" t="s">
        <v>171</v>
      </c>
      <c r="D69" s="271">
        <v>98</v>
      </c>
      <c r="E69" s="272"/>
    </row>
    <row r="70" spans="1:5" ht="15">
      <c r="A70" s="368">
        <v>5</v>
      </c>
      <c r="B70" s="269" t="s">
        <v>286</v>
      </c>
      <c r="C70" s="270" t="s">
        <v>171</v>
      </c>
      <c r="D70" s="271">
        <v>98</v>
      </c>
      <c r="E70" s="272"/>
    </row>
    <row r="71" spans="1:5" ht="15">
      <c r="A71" s="368">
        <v>6</v>
      </c>
      <c r="B71" s="269" t="s">
        <v>287</v>
      </c>
      <c r="C71" s="270" t="s">
        <v>171</v>
      </c>
      <c r="D71" s="271">
        <v>100</v>
      </c>
      <c r="E71" s="272"/>
    </row>
    <row r="72" spans="1:5" ht="15">
      <c r="A72" s="368">
        <v>7</v>
      </c>
      <c r="B72" s="269" t="s">
        <v>288</v>
      </c>
      <c r="C72" s="270" t="s">
        <v>171</v>
      </c>
      <c r="D72" s="271">
        <v>67</v>
      </c>
      <c r="E72" s="272"/>
    </row>
    <row r="73" spans="1:5" ht="15">
      <c r="A73" s="368">
        <v>8</v>
      </c>
      <c r="B73" s="269" t="s">
        <v>289</v>
      </c>
      <c r="C73" s="270" t="s">
        <v>290</v>
      </c>
      <c r="D73" s="282">
        <v>38</v>
      </c>
      <c r="E73" s="272"/>
    </row>
    <row r="74" spans="1:5" ht="15.75" thickBot="1">
      <c r="A74" s="283"/>
      <c r="B74" s="284"/>
      <c r="C74" s="284"/>
      <c r="D74" s="284"/>
      <c r="E74" s="285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anhdien</dc:creator>
  <cp:keywords/>
  <dc:description/>
  <cp:lastModifiedBy>admin</cp:lastModifiedBy>
  <cp:lastPrinted>2012-12-24T02:33:00Z</cp:lastPrinted>
  <dcterms:created xsi:type="dcterms:W3CDTF">2012-12-14T03:47:36Z</dcterms:created>
  <dcterms:modified xsi:type="dcterms:W3CDTF">2013-01-14T01:30:11Z</dcterms:modified>
  <cp:category/>
  <cp:version/>
  <cp:contentType/>
  <cp:contentStatus/>
</cp:coreProperties>
</file>